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drawings/drawing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75" windowWidth="11355" windowHeight="8580" tabRatio="825" firstSheet="1" activeTab="1"/>
  </bookViews>
  <sheets>
    <sheet name="Sheet1" sheetId="1" r:id="rId1"/>
    <sheet name="SOR RATE" sheetId="2" r:id="rId2"/>
    <sheet name="A-1" sheetId="3" r:id="rId3"/>
    <sheet name="A-2 (A)" sheetId="4" r:id="rId4"/>
    <sheet name="A-2 (B)" sheetId="5" r:id="rId5"/>
    <sheet name="A-3" sheetId="6" r:id="rId6"/>
    <sheet name="A-3 (A)" sheetId="7" r:id="rId7"/>
    <sheet name="A-3 (B)" sheetId="8" r:id="rId8"/>
    <sheet name="A-4" sheetId="9" r:id="rId9"/>
    <sheet name="A-5" sheetId="10" r:id="rId10"/>
    <sheet name="A-6" sheetId="11" r:id="rId11"/>
    <sheet name="A-6 (A)" sheetId="12" r:id="rId12"/>
    <sheet name="A-7" sheetId="13" r:id="rId13"/>
    <sheet name="A-8" sheetId="14" r:id="rId14"/>
    <sheet name="A-9" sheetId="15" r:id="rId15"/>
    <sheet name="B-1" sheetId="16" r:id="rId16"/>
    <sheet name="B-2" sheetId="17" r:id="rId17"/>
    <sheet name="B-3" sheetId="18" r:id="rId18"/>
    <sheet name="B-4" sheetId="19" r:id="rId19"/>
    <sheet name="B-5" sheetId="20" r:id="rId20"/>
    <sheet name="B-6" sheetId="21" r:id="rId21"/>
    <sheet name="B-7" sheetId="22" r:id="rId22"/>
    <sheet name="B-8" sheetId="23" r:id="rId23"/>
    <sheet name="B-9" sheetId="24" r:id="rId24"/>
  </sheets>
  <definedNames>
    <definedName name="_xlnm.Print_Area" localSheetId="15">'B-1'!$A$1:$L$135</definedName>
    <definedName name="_xlnm.Print_Area" localSheetId="16">'B-2'!$A$1:$I$27</definedName>
    <definedName name="_xlnm.Print_Titles" localSheetId="2">'A-1'!$7:$9</definedName>
    <definedName name="_xlnm.Print_Titles" localSheetId="3">'A-2 (A)'!$5:$7</definedName>
    <definedName name="_xlnm.Print_Titles" localSheetId="4">'A-2 (B)'!$5:$7</definedName>
    <definedName name="_xlnm.Print_Titles" localSheetId="5">'A-3'!$7:$9</definedName>
    <definedName name="_xlnm.Print_Titles" localSheetId="6">'A-3 (A)'!$5:$6</definedName>
    <definedName name="_xlnm.Print_Titles" localSheetId="7">'A-3 (B)'!$5:$7</definedName>
    <definedName name="_xlnm.Print_Titles" localSheetId="8">'A-4'!$6:$8</definedName>
    <definedName name="_xlnm.Print_Titles" localSheetId="9">'A-5'!$7:$9</definedName>
    <definedName name="_xlnm.Print_Titles" localSheetId="12">'A-7'!$5:$7</definedName>
    <definedName name="_xlnm.Print_Titles" localSheetId="13">'A-8'!$5:$7</definedName>
    <definedName name="_xlnm.Print_Titles" localSheetId="14">'A-9'!$5:$7</definedName>
    <definedName name="_xlnm.Print_Titles" localSheetId="15">'B-1'!$6:$9</definedName>
    <definedName name="_xlnm.Print_Titles" localSheetId="17">'B-3'!$5:$7</definedName>
    <definedName name="_xlnm.Print_Titles" localSheetId="18">'B-4'!$8:$10</definedName>
    <definedName name="_xlnm.Print_Titles" localSheetId="19">'B-5'!$6:$7</definedName>
    <definedName name="_xlnm.Print_Titles" localSheetId="23">'B-9'!$6:$7</definedName>
    <definedName name="_xlnm.Print_Titles" localSheetId="0">'Sheet1'!$3:$5</definedName>
  </definedNames>
  <calcPr fullCalcOnLoad="1"/>
</workbook>
</file>

<file path=xl/sharedStrings.xml><?xml version="1.0" encoding="utf-8"?>
<sst xmlns="http://schemas.openxmlformats.org/spreadsheetml/2006/main" count="4643" uniqueCount="2197">
  <si>
    <t>HARDWARE FOR 75X90MM LTSHACKLE INSULATOR</t>
  </si>
  <si>
    <t>11 KV Strain hardware fittings.</t>
  </si>
  <si>
    <t>33 KV Strain hardware fittings.</t>
  </si>
  <si>
    <t>SSH ASSEMBLY WITH ARCING HORN FOR PANTHE</t>
  </si>
  <si>
    <t>BINDING WIRE</t>
  </si>
  <si>
    <t>CONDUCTOR AAA SQURREL</t>
  </si>
  <si>
    <t>CONDUCTOR AAA WEASEL</t>
  </si>
  <si>
    <t>CONDUCTOR AAA RABBIT</t>
  </si>
  <si>
    <t>CONDUCTOR AAA RACOON</t>
  </si>
  <si>
    <t>JOINTING SLEEVE FOR RACCOON CONDUCTOR</t>
  </si>
  <si>
    <t>JOINTING SLEEVE FOR DOG CONDUCTOR</t>
  </si>
  <si>
    <t>ACSR CONDUCTOR 0.02 sqmm(20 Sqmm Al.Eq)</t>
  </si>
  <si>
    <t>ACSR CONDUCTOR 0.03 Sqmm (30 Sqmm AlEq)</t>
  </si>
  <si>
    <t>ACSR CONDUCTOR 0.05 Sqmm (50 Sqmm Al q)</t>
  </si>
  <si>
    <t>ACSR CONDUCTOR 0.075 Sqmm (80 Sqmm Al.E</t>
  </si>
  <si>
    <t>ACSR CONDUCTOR 0.10 Sqmm (100 Sqmm lEq)</t>
  </si>
  <si>
    <t>CONDUCTOR ACSR PANTHER 130 sq mm</t>
  </si>
  <si>
    <t>CONDUCTOR AAA DOG</t>
  </si>
  <si>
    <t>T-CLAMPS FOR ACSR CONDUCTOR Dog Condutor</t>
  </si>
  <si>
    <t>T-CLAMPS FOR ACSR Raccoon Conductor.</t>
  </si>
  <si>
    <t>Bimetallic clamps for transformer &amp;kiosk</t>
  </si>
  <si>
    <t>SLEEVE JOINTING ALUMINIUM FOR 0.03SQ INC</t>
  </si>
  <si>
    <t>SLEEVE REPAIR ALUMINIUM FOR .2SQ INCH AC</t>
  </si>
  <si>
    <t>LIGHTNING ARRESTORS 30 KV gapless type</t>
  </si>
  <si>
    <t>LIGHTNING ARRESTORS11 KV gapless type.</t>
  </si>
  <si>
    <t>Transformer mounting 100 x 50 mm channel</t>
  </si>
  <si>
    <t>I bolt 16 mm Dia</t>
  </si>
  <si>
    <t>STAY SET WITHOUT STAY WIRE16mm Paint11KV</t>
  </si>
  <si>
    <t>STAY SET WITHOUT STAY WIRE 20mm (Painted</t>
  </si>
  <si>
    <t>STAY WIRES : - 7/4,00 MM (7/8 SWG).</t>
  </si>
  <si>
    <t>STAY WIRES: - 7/3,05 MM (7/10 SWG)</t>
  </si>
  <si>
    <t>EARTHING COIL 8SWG GI WIRE 50MM DIA 450M</t>
  </si>
  <si>
    <t>Earthing rod 25mm x 1.2 Mtrs.</t>
  </si>
  <si>
    <t>G.I. WIRES: - 3,15MM (10 SWG)</t>
  </si>
  <si>
    <t>G.I. WIRES: - 4,0MM (8 SWG)</t>
  </si>
  <si>
    <t>G.I. WIRES: - 5,0MM (6 SWG)</t>
  </si>
  <si>
    <t>DOUB TENS H/W FOR ZEB/ CAMEL COND S/S TY</t>
  </si>
  <si>
    <t>Jointing Kit&amp;HW LT ABC CableStraight Sus</t>
  </si>
  <si>
    <r>
      <t xml:space="preserve">Cement for Con. Of X'mer foundation (1:3:6) = </t>
    </r>
    <r>
      <rPr>
        <b/>
        <sz val="10"/>
        <rFont val="Arial"/>
        <family val="2"/>
      </rPr>
      <t>15 cmt</t>
    </r>
  </si>
  <si>
    <t>Cable trench for addl two VCB &amp; Xmer</t>
  </si>
  <si>
    <t>Services</t>
  </si>
  <si>
    <t>Control cable for Xmer &amp; VCB</t>
  </si>
  <si>
    <t>a) 8 Core  2.5 Sqmm. (unarmoured)</t>
  </si>
  <si>
    <t>b) 4 Core  2.5 Sqmm. (unarmoured)</t>
  </si>
  <si>
    <t>c) 2 Core 2.5 Sqmm. (unarmoured)</t>
  </si>
  <si>
    <t>Earthing for addl X'mer &amp; VCB</t>
  </si>
  <si>
    <t>D Transformer Mounting 100x50 mm Channel</t>
  </si>
  <si>
    <t>Transformer Mounting with Belting for Addl. X-Arm</t>
  </si>
  <si>
    <t>I-Bolt - 16 mm</t>
  </si>
  <si>
    <t>Stay Set 16 mm (Painted) LT &amp; 11 KV</t>
  </si>
  <si>
    <t>Stay Set 20 mm (Painted)</t>
  </si>
  <si>
    <t>Stay Wire 7/4.00 mm (7/8 SWG)</t>
  </si>
  <si>
    <t>Stay Wire 7/3.15 mm (7/10 SWG)</t>
  </si>
  <si>
    <t>Earthing Rod 25 mm 1.2 Mtr.</t>
  </si>
  <si>
    <t>G.I.Wire 3.15 mm (10 SWG)</t>
  </si>
  <si>
    <t>G.I.Wire 4.0 mm (8 SWG)</t>
  </si>
  <si>
    <t>G.I.Wire 5.0 mm (6 SWG)</t>
  </si>
  <si>
    <t>Jointing kit 11 kV ABC Cable DEAD END ASM</t>
  </si>
  <si>
    <t>Jointing Kit 11 kV ABC Section Suspensio</t>
  </si>
  <si>
    <t>33 kV Guarding Channel 100x50 mm</t>
  </si>
  <si>
    <t>Old Bin Code  7131329276</t>
  </si>
  <si>
    <t>Old Bin Code  7131329277</t>
  </si>
  <si>
    <t>Old Bin Code 7131329278</t>
  </si>
  <si>
    <t>LT Single Phase MCB 5 Amps.</t>
  </si>
  <si>
    <t>LT Single Phase MCB 6 to 16 Amps.</t>
  </si>
  <si>
    <t>LT Three Phase MCB 32 Amps.</t>
  </si>
  <si>
    <t>LT Three Phase MCB 16 Amps.</t>
  </si>
  <si>
    <t>ELCB-MCB Composite Unit 10 Amps. (100 mA DP)</t>
  </si>
  <si>
    <t>ELCB-MCB Composite Unit 16 Amps. (100 mA DP)</t>
  </si>
  <si>
    <t>ELCB-MCB Composite Unit 20 Amps. (100 mA DP)</t>
  </si>
  <si>
    <t>MCCB 32 Amps. (10 kA TP)</t>
  </si>
  <si>
    <t>MCCB 160 Amps. (10 kA TP)</t>
  </si>
  <si>
    <t>D.O.Fuse element 11 kV (1.5 Amp. to 10 Amp.)</t>
  </si>
  <si>
    <t>H.R.C. Fuse 250 Amps.</t>
  </si>
  <si>
    <t>H.R.C. Fuse 400 Amps.</t>
  </si>
  <si>
    <t>H.R.C. Fuse 100 Amps.</t>
  </si>
  <si>
    <t>D.O.Fuse element 33 kV (25 Amp.)</t>
  </si>
  <si>
    <t>D.O.Fuse element 33 kV (50 Amp.)</t>
  </si>
  <si>
    <t>H.R.C. Fuse Unit 250 Amps.</t>
  </si>
  <si>
    <t>H.R.C. Fuse Unit 100 Amps.</t>
  </si>
  <si>
    <t>H.R.C. Fuse Unit 400 Amps.</t>
  </si>
  <si>
    <t>T.C. Fuse Wire 22 SWG</t>
  </si>
  <si>
    <t>T.C. Fuse Wire 20 SWG</t>
  </si>
  <si>
    <t>T.C. Fuse Wire 18 SWG</t>
  </si>
  <si>
    <t>33 kV ABC Termination kit 240 sqmm</t>
  </si>
  <si>
    <t>33 kV ABC Termination kit 300 sqmm</t>
  </si>
  <si>
    <t>33 kV ABC Termination kit 400 sqmm</t>
  </si>
  <si>
    <t>Cable tie for AB Cable</t>
  </si>
  <si>
    <t xml:space="preserve">11 kV 3 phase Aerial Bunched Cable 3x35 + 35 Sq mm </t>
  </si>
  <si>
    <t xml:space="preserve">11 kV 3 phase Aerial Bunched Cable 3x70 + 70 Sq mm </t>
  </si>
  <si>
    <t xml:space="preserve">11 kV 3 phase Aerial Bunched Cable 3x95 + 95 Sq mm </t>
  </si>
  <si>
    <t xml:space="preserve">11 kV 3 phase Aerial Bunched Cable 3x120 + 120 Sq mm </t>
  </si>
  <si>
    <t>11 kV AB Cable Straight thru' joint kit suitable for 35-70 sqmm</t>
  </si>
  <si>
    <t>11 kV AB Cable Straight thru' joint kit suitable for 95-120 sqmm</t>
  </si>
  <si>
    <t>11 kV ABC Termination kit 35-70 sqmm</t>
  </si>
  <si>
    <t>11 kV ABC Termination kit 95-120 sqmm</t>
  </si>
  <si>
    <t>LT 1 phase 3 Wire Aerial Bunched Cable of Size 1X25+1X16+1x25</t>
  </si>
  <si>
    <t>LT 3 phase 5 Wire Aerial Bunched Cable of Size 3X16+1X16+1x25</t>
  </si>
  <si>
    <t>35 Sqmm.</t>
  </si>
  <si>
    <t>50 Sqmm.</t>
  </si>
  <si>
    <t>70 Sqmm.</t>
  </si>
  <si>
    <t>120 Sqmm.</t>
  </si>
  <si>
    <t>150 Sqmm.</t>
  </si>
  <si>
    <t>300 Sqmm.</t>
  </si>
  <si>
    <t>16.0 Sqmm.</t>
  </si>
  <si>
    <t>km</t>
  </si>
  <si>
    <t>T.W.METER BOARD, 300X300X75 MM, COATED W</t>
  </si>
  <si>
    <t>Meter Box (GI Plain Sheet) for 3 Ph LTCT</t>
  </si>
  <si>
    <t>LTCT METER WITH DLMS</t>
  </si>
  <si>
    <t>Suspension Clamp Assembly with Hook bracket &amp; Pole Clamp</t>
  </si>
  <si>
    <t>Tension/Dead end Clamp Assembly with Hook bracket &amp; Pole Clamp</t>
  </si>
  <si>
    <t>M.S. sheet meter piller box</t>
  </si>
  <si>
    <t xml:space="preserve">Metal Halide light lamp  </t>
  </si>
  <si>
    <t>Stay Clamp for 280 kG. PCC Pole</t>
  </si>
  <si>
    <t>Stay Clamp Rail "A" type</t>
  </si>
  <si>
    <t>Stay Clamp for R.S.Joist "A" type</t>
  </si>
  <si>
    <t>Stay Clamp Rail "B" type</t>
  </si>
  <si>
    <t>Back Clamp Rail for H-Beam</t>
  </si>
  <si>
    <t>L.T. 3 Pin Cross Arm 50x50x6 mm</t>
  </si>
  <si>
    <t>L.T. 4 Pin Cross Arm 50x50x6 mm</t>
  </si>
  <si>
    <t>L.T. 5 Pin Cross Arm 50x50x6 mm</t>
  </si>
  <si>
    <t>11 kV Cross Arm Cleat type</t>
  </si>
  <si>
    <t>DELETED</t>
  </si>
  <si>
    <r>
      <t xml:space="preserve">   DELETED</t>
    </r>
    <r>
      <rPr>
        <b/>
        <sz val="8"/>
        <color indexed="9"/>
        <rFont val="Verdana"/>
        <family val="2"/>
      </rPr>
      <t xml:space="preserve"> </t>
    </r>
  </si>
  <si>
    <t>RATE OF STOCK MATERIALS IN 2015-16</t>
  </si>
  <si>
    <t>33 kV DP STRUCTURE ON  PCC POLES / H-BEAM POLE (TO BE SUPPLEMENTED WITH EVERY 1.0 KM OF LINE OF RACCOON / DOG  CONDUCTOR)</t>
  </si>
  <si>
    <t>1 KM OF 33 kV LINE ON PCC POLES  / H-BEAM SUPPORT WITH MAXIMUM SPAN OF 100 METERS USING DOG CONDUCTOR</t>
  </si>
  <si>
    <t>COST  SCHEDULE  FOR ADDITIONAL  (MID SPAN)  POLE  FOR  33 kV  LINE USING  37.1 KG / MTR 13 M. LONG H-BEAM SUPPORT</t>
  </si>
  <si>
    <t>1 KM OF 33 kV LINE ON 37.1 KG / MTR 13 M. LONG H-BEAM SUSPENSION TYPE WITH PANTHER CONDUCTOR  (WITH MAXIMUM SPAN OF 50 METERS)</t>
  </si>
  <si>
    <t xml:space="preserve"> 33 kV D.P. STRUCTURE ON 13 M. LONG H-BEAM POLE FOR PANTHER CONDUCTOR (TO BE SUPPLEMENTED WITH EVERY 0.3 kM OF SUSPENSION LINE)</t>
  </si>
  <si>
    <t>33 kV MEDP STRUCTURE ON  PCC POLE / H-BEAM POLE (TO BE SUPPLEMENTED FOR H.T. CONNECTION)</t>
  </si>
  <si>
    <t xml:space="preserve">  All the rates are with considering price variation clause.</t>
  </si>
  <si>
    <t>COST  SCHEDULE  B-3</t>
  </si>
  <si>
    <t>( 33 kV SUB-STATIONS )</t>
  </si>
  <si>
    <t>SCHEDULE FOR INSTALLATION OF ADDITIONAL TRANSFORMER FOR PARALLEL OPERATION WITH TWO ADDITIONAL BAY ON 11 kV SIDE</t>
  </si>
  <si>
    <t>Sub-station capacity</t>
  </si>
  <si>
    <t>1.6 MVA</t>
  </si>
  <si>
    <t>3.15 MVA</t>
  </si>
  <si>
    <t>5.0 MVA</t>
  </si>
  <si>
    <t>Power Transformer 33/11 kV</t>
  </si>
  <si>
    <t>Power Transformer 1.6 MVA</t>
  </si>
  <si>
    <t>Power Transformer 3.15 MVA</t>
  </si>
  <si>
    <t>Power Transformer 5 MVA</t>
  </si>
  <si>
    <t>33 kV VCB  with CT's and panels.</t>
  </si>
  <si>
    <t>(i) 33 kV VCB ( without CT's and panels)</t>
  </si>
  <si>
    <t>(ii) 33 kV Control Panel</t>
  </si>
  <si>
    <t>(iii) 33 kV CT's 200-100/5A</t>
  </si>
  <si>
    <t>11 kV VCB for X'mer protection with CT's and panels.</t>
  </si>
  <si>
    <t>(i) 11 kV VCB (without CTs &amp; Panel)</t>
  </si>
  <si>
    <t>(ii) 11 kV Control Panel for X-mer Protection</t>
  </si>
  <si>
    <t>(iii) 11 kV CT's 300-150/5 Amps</t>
  </si>
  <si>
    <t>11 kV VCB for feeder protection with  CT's and panels.</t>
  </si>
  <si>
    <t>(ii) 11 kV Control Panel for feeder protection</t>
  </si>
  <si>
    <t>Old Bin Code-7131960494</t>
  </si>
  <si>
    <t>(iii) 11 kV CT's 200-100/5 Amps</t>
  </si>
  <si>
    <t>33 kV DO Fuse Unit</t>
  </si>
  <si>
    <r>
      <t xml:space="preserve">33 kV isolator, 600 A. Without earth switch </t>
    </r>
    <r>
      <rPr>
        <sz val="14"/>
        <rFont val="Arial"/>
        <family val="2"/>
      </rPr>
      <t xml:space="preserve"> </t>
    </r>
  </si>
  <si>
    <t>11 kV isolator, 600 A</t>
  </si>
  <si>
    <r>
      <t>H.T. STATIC TRIVECTOR METERS</t>
    </r>
    <r>
      <rPr>
        <b/>
        <sz val="10"/>
        <rFont val="Arial"/>
        <family val="2"/>
      </rPr>
      <t xml:space="preserve"> </t>
    </r>
  </si>
  <si>
    <t>33 kV AB switch</t>
  </si>
  <si>
    <t>STRUCTURE AND BUS BAR ARRANGEMENT</t>
  </si>
  <si>
    <t>DO fuse supporting structure set on 7 Mtr long H- Beam 37.1 kg/mtr  33 kV &amp; 11 kV side (2 No. each side)  i.e. 37.1 kg x 7 = 259.7 kg/pole x 4 Nos = 1038.8 Kgs</t>
  </si>
  <si>
    <t>33 kV additional bay ( 02 No H-Beam 152x152 mm 08 mtr long) with 6 Nos, 5.2 Mtr channel</t>
  </si>
  <si>
    <t>Cost of meter replacement of single phase consumer along with shifting of meter outside the premises.</t>
  </si>
  <si>
    <t>E-2</t>
  </si>
  <si>
    <t>-</t>
  </si>
  <si>
    <t>With Armoured service cable</t>
  </si>
  <si>
    <t>E-2(i)</t>
  </si>
  <si>
    <t>With Unarmoured service cable</t>
  </si>
  <si>
    <t>E-2(ii)</t>
  </si>
  <si>
    <t>Cost of meter replacement of three phase consumer along with shifting of meter outside the premises.</t>
  </si>
  <si>
    <t>E-3</t>
  </si>
  <si>
    <t>E-3(i)</t>
  </si>
  <si>
    <t>E-3(ii)</t>
  </si>
  <si>
    <t>Cost of meter replacement of three phase consumer CT Operated meter along with shifting of meter outside the premises.</t>
  </si>
  <si>
    <t>E-4</t>
  </si>
  <si>
    <t>Meter shifting of Single phase consumer to outside of premises with New Service Cable.</t>
  </si>
  <si>
    <t>E-5</t>
  </si>
  <si>
    <t>E-5(i)</t>
  </si>
  <si>
    <t>E-5(ii)</t>
  </si>
  <si>
    <t>Meter shifting of Three phase consumer to outside of premises with New Service Cable.</t>
  </si>
  <si>
    <t>E-6</t>
  </si>
  <si>
    <t>E-6(i)</t>
  </si>
  <si>
    <t>E-6(ii)</t>
  </si>
  <si>
    <t>Unit rate for 2015-16</t>
  </si>
  <si>
    <t>SAP DESCRIPTION</t>
  </si>
  <si>
    <t>33KV 400 sqmm XLPE cable (Underground)</t>
  </si>
  <si>
    <t>2 Core (ARMOURED)</t>
  </si>
  <si>
    <t>2 Core (UNARMOURED)</t>
  </si>
  <si>
    <t>4 Core (UNARMOURED)</t>
  </si>
  <si>
    <t>4 Core (ARMOURED)</t>
  </si>
  <si>
    <t>8 Core (UNARMOURED)</t>
  </si>
  <si>
    <t>10 Core (UNARMOURED)</t>
  </si>
  <si>
    <t>10 Core (ARMOURED)</t>
  </si>
  <si>
    <t>12 Core (UNARMOURED)</t>
  </si>
  <si>
    <t>33 kV ; 600 Amps without earth switch.</t>
  </si>
  <si>
    <t xml:space="preserve">  5 kVAR</t>
  </si>
  <si>
    <t>10 kVAR</t>
  </si>
  <si>
    <t>12 kVAR</t>
  </si>
  <si>
    <t>20 kVAR</t>
  </si>
  <si>
    <t>1089 kVAR 12.1 kV 3-phase 50 Hz Outdoor type Capacitor bank having step as 363</t>
  </si>
  <si>
    <t>1815 kVAR 12.1 kV 3-phase 50 Hz Outdoor type Capacitor bank having step as 363 kvar+726 kvar+726 Kvar 12.1 kv Bank shall be complete with capacitor units of 121 kVAr at 6.98 kV including allied materials such as suitable size of aluminium busbars, pin/post insulators, expulsion fuses, cable jointing kit, nuts &amp; bolts etc.</t>
  </si>
  <si>
    <t>410-SP-60, 12 Mtrs. Long.</t>
  </si>
  <si>
    <t>410-SP-29, 9 Mtrs. Long.</t>
  </si>
  <si>
    <t>Single Phase transformer with protection (16 kVA)</t>
  </si>
  <si>
    <t>3 Ø 4 Wire 0.5S with DLMS Protocol category B</t>
  </si>
  <si>
    <t xml:space="preserve">3 Ø 4 Wire 0.2S Non DLMS </t>
  </si>
  <si>
    <t xml:space="preserve">3 Ø 3 Wire 0.2S Non DLMS </t>
  </si>
  <si>
    <t xml:space="preserve">3 Ø 4 Wire 0.5S Non DLMS </t>
  </si>
  <si>
    <t>CMRI</t>
  </si>
  <si>
    <t>3 Ø 4 Wire 0.2S accuracy class CT operated meter (for 132 kV)</t>
  </si>
  <si>
    <t>Meter Box (GI Plain Sheet) for 3 Phase LT CT operated meter</t>
  </si>
  <si>
    <t>Non Directional, 30-V, 5-Amps IDMT relay.</t>
  </si>
  <si>
    <t>Set of 3 O.C. relays instantaneous high set feature</t>
  </si>
  <si>
    <t>Set of 2 O.C.+ 1 earth fault relay without instantaneous high set feature</t>
  </si>
  <si>
    <t>Master trip relays</t>
  </si>
  <si>
    <t xml:space="preserve">33 kV CT's (400-200/5) Amps. Oil filled </t>
  </si>
  <si>
    <t>33 kV CT's (300-150/5) Amps oil filled</t>
  </si>
  <si>
    <t>33 kV CT's (200-100/5) Amps oil filled</t>
  </si>
  <si>
    <t>33 kV CT's  (100-50/5) Amps. oil filled</t>
  </si>
  <si>
    <t>11 kV Single Phase PT's (Oil filled)</t>
  </si>
  <si>
    <t>100 kVA on H-Beam 152x152 mm,37.1 Kg/Mtr, 11 mtr long</t>
  </si>
  <si>
    <t>C-7(B-1) A (III)</t>
  </si>
  <si>
    <t>200 kVA on  H-Beam 152x152 mm, 37.1 Kg/Mtr,11 mtr long</t>
  </si>
  <si>
    <t>C-7(B-1) A (IV)</t>
  </si>
  <si>
    <t>(B-1) B</t>
  </si>
  <si>
    <t>Renovation of Existing Distribution Transformer</t>
  </si>
  <si>
    <t>25 kVA Transformer</t>
  </si>
  <si>
    <t>C-7(B-1) B (I)</t>
  </si>
  <si>
    <t>63 kVA Transformer</t>
  </si>
  <si>
    <t>C-7(B-1) B (II)</t>
  </si>
  <si>
    <t>100 kVA Transformer</t>
  </si>
  <si>
    <t>C-7(B-1) B (III)</t>
  </si>
  <si>
    <t>200 kVA Transformer</t>
  </si>
  <si>
    <t>C-7(B-1) B (IV)</t>
  </si>
  <si>
    <t>315 kVA Transformer</t>
  </si>
  <si>
    <t>C-7(B-1) B (V)</t>
  </si>
  <si>
    <t>(A-2)</t>
  </si>
  <si>
    <t>C-7(A-2)(I)</t>
  </si>
  <si>
    <t>C-7(A-2)(II)</t>
  </si>
  <si>
    <t>C-7(A-2)(III)</t>
  </si>
  <si>
    <t>C-7(A-2)(IV)</t>
  </si>
  <si>
    <t>(B-2)</t>
  </si>
  <si>
    <t>Concreting of supports @ 0.6 Cmt. Per pole for Rail / H-Beam / 365 kG PCC; and @ 0.3 Cmt per stay and @ 0.05 Cmt per pole for base padding for PCC / Rail / H-Beam pole.</t>
  </si>
  <si>
    <t xml:space="preserve">Material Code </t>
  </si>
  <si>
    <t>Description</t>
  </si>
  <si>
    <t>unit</t>
  </si>
  <si>
    <t>Rate for Bin code not maintained</t>
  </si>
  <si>
    <t xml:space="preserve">Services on Painting on structure </t>
  </si>
  <si>
    <t>I-Bolt (big size)</t>
  </si>
  <si>
    <t>Foundation bolt</t>
  </si>
  <si>
    <t>Through Bolt</t>
  </si>
  <si>
    <t>Stay clamp for 140 kG PCC Pole</t>
  </si>
  <si>
    <t>Stay clamp HT per pair</t>
  </si>
  <si>
    <t>Strain Plate</t>
  </si>
  <si>
    <t>Dead-end Assembly (Suitable for all size cable)</t>
  </si>
  <si>
    <t>Straight line Suspension Assembly (Suitable for all size cable)</t>
  </si>
  <si>
    <t>Eye Hook</t>
  </si>
  <si>
    <t>Earth spike</t>
  </si>
  <si>
    <t>Pole Clamp</t>
  </si>
  <si>
    <t>Black Cambric tape 25 mm wide 7 mm thick and in rolls of 50 Mtr.</t>
  </si>
  <si>
    <t>PVC lnsulation Tapes 19 mm wide and in rolls of 10 Mtrs</t>
  </si>
  <si>
    <t>Grey Enamel Paint smoke/battle ship</t>
  </si>
  <si>
    <t>Cotton Tapes 19 mm wide and in rolls of 50 Mtrs</t>
  </si>
  <si>
    <t>Cotton Waste</t>
  </si>
  <si>
    <t>Hack saw blade 300x12.5 mm</t>
  </si>
  <si>
    <t>Monoplast</t>
  </si>
  <si>
    <t>Bitumen compound</t>
  </si>
  <si>
    <t>10 kVA Single phase</t>
  </si>
  <si>
    <t>C-13(II)</t>
  </si>
  <si>
    <t>16 kVA Three phase</t>
  </si>
  <si>
    <t xml:space="preserve">Adjustable Screw Spanner 12 inches </t>
  </si>
  <si>
    <t xml:space="preserve">Power Transformer 3150 kVA </t>
  </si>
  <si>
    <t xml:space="preserve">Power Transformer 5000 kVA </t>
  </si>
  <si>
    <t>Indoor Type 33 kV Metering Cubical CTPT Unit 100 /5A</t>
  </si>
  <si>
    <t>L.T.C.T. 100/5 Amps.</t>
  </si>
  <si>
    <t>L.T.C.T. 200/5 Amps.</t>
  </si>
  <si>
    <t>L.T.C.T. 300/5 Amps.</t>
  </si>
  <si>
    <t>L.T.C.T. 500/5 Amps.</t>
  </si>
  <si>
    <t>220 kV C.T. 800-400/1</t>
  </si>
  <si>
    <t>132 kV C.T. 600-300/1</t>
  </si>
  <si>
    <t>132 kV C.T. 150-75/1</t>
  </si>
  <si>
    <t>220 kV C.T. 150-75/1</t>
  </si>
  <si>
    <t>220 kV C.T. 300-150/1</t>
  </si>
  <si>
    <t>220 kV C.T. 600-300/1</t>
  </si>
  <si>
    <t>11 kV CTPT Unit 400-200/5 A</t>
  </si>
  <si>
    <t>33 kV CTPT Unit 300-150/5 A</t>
  </si>
  <si>
    <t>11 kV C.T. 200-100/5 Amps.</t>
  </si>
  <si>
    <t>11 kV C.T. 300-150/5 Amps.</t>
  </si>
  <si>
    <t>132 kV C.T. 100-50/1</t>
  </si>
  <si>
    <t>132 kV C.T. 200-100/1</t>
  </si>
  <si>
    <t>132 kV C.T. 300-150/1</t>
  </si>
  <si>
    <t>11 kV CTPT Unit 7.5/5 A</t>
  </si>
  <si>
    <t>11 kV CTPT Unit 10/5 A</t>
  </si>
  <si>
    <t>11 kV CTPT Unit 15/5 A</t>
  </si>
  <si>
    <t>11 kV CTPT Unit 300-150/5 A</t>
  </si>
  <si>
    <t>11 kV CTPT Unit 25/5 A</t>
  </si>
  <si>
    <t>11 kV CTPT Unit 75/5 A</t>
  </si>
  <si>
    <t>11 kV CTPT Unit 50/5 A</t>
  </si>
  <si>
    <t>33 kV CTPT Unit 20/5 A</t>
  </si>
  <si>
    <t>33 kV CTPT Unit 5/5 A</t>
  </si>
  <si>
    <t>33 kV CTPT Unit 10/5 A</t>
  </si>
  <si>
    <t>33 kV CTPT Unit 30/5 A</t>
  </si>
  <si>
    <t>33 kV CTPT Unit 50/5 A</t>
  </si>
  <si>
    <t>33 kV CTPT Unit 100 /5A</t>
  </si>
  <si>
    <t>33 kV CTPT Unit 200/5A</t>
  </si>
  <si>
    <t>33 kV CTPT Unit 400-200/5 A</t>
  </si>
  <si>
    <t>Old Bin Code-7132230472</t>
  </si>
  <si>
    <t>Old Bin Code-7132230482</t>
  </si>
  <si>
    <t>Old Bin Code-7132448851</t>
  </si>
  <si>
    <t>Indoor Type 33 kV Metering Cubical CTPT Unit 50/5 A</t>
  </si>
  <si>
    <t xml:space="preserve">Transformer Oil In Barrel </t>
  </si>
  <si>
    <t xml:space="preserve">Transformer Oil In Tanker </t>
  </si>
  <si>
    <t>11 KV Pin insulator without GI Pin</t>
  </si>
  <si>
    <t>33 KV Pin insulator without GI Pin.</t>
  </si>
  <si>
    <t>SHACKEL INSULATORS: - 65 x 50 mm.</t>
  </si>
  <si>
    <t>M S CHANNEL 100X50 MM</t>
  </si>
  <si>
    <t>M S FLAT 65X8 MM</t>
  </si>
  <si>
    <t>R.S.JOIST 125 x 70 mm</t>
  </si>
  <si>
    <t>R S JOIST 175X85 MM</t>
  </si>
  <si>
    <t>Rails 52.09 kgs per Mtr./105 lbs yard</t>
  </si>
  <si>
    <t>RAIL 60 KG PER METER</t>
  </si>
  <si>
    <t>H BEAMS 152X152MM; 37,1 KG/MTR.</t>
  </si>
  <si>
    <t>MS H BEAMS 152X152MM, 37.1 KG/MTR 11MTR</t>
  </si>
  <si>
    <t>G.I. WIRES: - Barbed wire.</t>
  </si>
  <si>
    <t>I BOLT M 20X128MM THREAD PORTION 50 MM I</t>
  </si>
  <si>
    <t>BOLT WITH NUT G I 16X40 MM</t>
  </si>
  <si>
    <t>BOLT WITH NUT GI 16X65 MM</t>
  </si>
  <si>
    <t>12x100 mm</t>
  </si>
  <si>
    <t>Rs</t>
  </si>
  <si>
    <t xml:space="preserve">Particulars </t>
  </si>
  <si>
    <t>New Sap Bin Code</t>
  </si>
  <si>
    <t xml:space="preserve">Unit </t>
  </si>
  <si>
    <t>Transport charges for transformer upto 50 Kms lead</t>
  </si>
  <si>
    <t xml:space="preserve">Labour &amp; transport charges for VCB </t>
  </si>
  <si>
    <t>(-) Cost of Old Transformer assuming 25 years of life &amp; 5 years in service.</t>
  </si>
  <si>
    <t>Net cost of Augmentation</t>
  </si>
  <si>
    <t>Net cost of Augmentation (Rounded off)</t>
  </si>
  <si>
    <t>Note:-  All the rates are with considering price variation clause.</t>
  </si>
  <si>
    <t>COST  SCHEDULE  B-9</t>
  </si>
  <si>
    <t>INSTALLATION OF 1.6 MVA  33/11 kV SUB-STATION ON LINE</t>
  </si>
  <si>
    <t>CIVIL WORKS</t>
  </si>
  <si>
    <t>Land</t>
  </si>
  <si>
    <t>Sq Mtr</t>
  </si>
  <si>
    <t>Fencing for Sub-station with barbed wire.</t>
  </si>
  <si>
    <t>Iron gate on RCC column.</t>
  </si>
  <si>
    <t>Total of 01 : -</t>
  </si>
  <si>
    <t>EQUIPMENTS AND BUS BAR ARRANGEMENT</t>
  </si>
  <si>
    <t xml:space="preserve">Power Transformer 1.6 MVA </t>
  </si>
  <si>
    <t>PCC supports 280 Kg; 9.0 Mtr. long</t>
  </si>
  <si>
    <t xml:space="preserve">33 kV "V" cross arm </t>
  </si>
  <si>
    <t>(i) Cross arm clamp</t>
  </si>
  <si>
    <t>33 kV Top clamp</t>
  </si>
  <si>
    <t>33 kV A.B. Switch</t>
  </si>
  <si>
    <t>33 kV D.O. Fuse Unit</t>
  </si>
  <si>
    <t>MS Channel 100x50 mm, 5.2 Mtr. Long for D.O., A.B. switch and LA mounting.</t>
  </si>
  <si>
    <t>T.C. Fuse Wire 12 SWG</t>
  </si>
  <si>
    <t>T.C. Fuse Wire 10 SWG</t>
  </si>
  <si>
    <t>Porcelain Kit-kat fuse unit 32 Amps.</t>
  </si>
  <si>
    <t>Porcelain Kit-kat fuse unit 63 Amps.</t>
  </si>
  <si>
    <t>Bin Code No.</t>
  </si>
  <si>
    <t>Rate</t>
  </si>
  <si>
    <t>Earthing Coil 8 SWG GI Wire 50 mm dia 450 m</t>
  </si>
  <si>
    <t>Single Pole Cut Point Fitting 100x50 mm</t>
  </si>
  <si>
    <t>Stay Set 20 mm</t>
  </si>
  <si>
    <t>Stay Wire 7/8 SWG @ 8.5 Kg/Pole</t>
  </si>
  <si>
    <t>M.S. Nuts &amp; Bolts 16x40 mm</t>
  </si>
  <si>
    <t>M.S. Nuts &amp; Bolts 16x65 mm</t>
  </si>
  <si>
    <t>Transport Charges</t>
  </si>
  <si>
    <t>Service in lieu of Concreting</t>
  </si>
  <si>
    <t>GRAND TOTAL</t>
  </si>
  <si>
    <t>GRAND TOTAL (Round Off)</t>
  </si>
  <si>
    <t>COST SCHEDULE   A-7</t>
  </si>
  <si>
    <t>SCHEDULE FOR  LAST SPAN CABLING OF  33 kV  H.T. CONNECTION</t>
  </si>
  <si>
    <t xml:space="preserve">Cost per 50 Mtr for non guaranteed works (Rounded off ) </t>
  </si>
  <si>
    <t xml:space="preserve">H-Beam 152x152 mm 37.1 Kg/Mtr 13 M (482.30 Kg) x 10 No = 4823 Kgs </t>
  </si>
  <si>
    <t xml:space="preserve">H-Beam 152x152 mm 37.1 Kg/Mtr 13 M (482.30Kg) x 10 No = 4823 Kgs </t>
  </si>
  <si>
    <t xml:space="preserve">(vi) I-Bolt Big Size </t>
  </si>
  <si>
    <t>DC Cross arm (100x50 mm) Channel 2.4 Mtr. (1.5 X 20 = 30)</t>
  </si>
  <si>
    <t>(iii) 33 kV Guarding Channel</t>
  </si>
  <si>
    <t xml:space="preserve">Transport Charges up to 50 km average lead from area Stores to Construction Camp Including Side Transport </t>
  </si>
  <si>
    <t>A-4</t>
  </si>
  <si>
    <t>(H)</t>
  </si>
  <si>
    <t>A-5</t>
  </si>
  <si>
    <t>(I)</t>
  </si>
  <si>
    <t>33 kV Under ground cable crossing under Railway track for 60 mtr length, under 2.5 mtr deep for ground level single feeder line.</t>
  </si>
  <si>
    <t>A-6</t>
  </si>
  <si>
    <t>60 Mtr</t>
  </si>
  <si>
    <t>With 3 core U/G XLPE 240 sqmm Cable</t>
  </si>
  <si>
    <t>A-6(i)</t>
  </si>
  <si>
    <t>With 3 core U/G XLPE 400 sqmm Cable</t>
  </si>
  <si>
    <t>A-6(ii)</t>
  </si>
  <si>
    <t>(J)</t>
  </si>
  <si>
    <t>33 kV under ground cable Road crossing for 50 mtr length, under 2.5 mtr deep for ground level single feeder line</t>
  </si>
  <si>
    <t>A-6 (A)</t>
  </si>
  <si>
    <t>50 Mtr</t>
  </si>
  <si>
    <t>(K)</t>
  </si>
  <si>
    <t>Last span cabling of 33 kV H.T. Connection</t>
  </si>
  <si>
    <t>A-7</t>
  </si>
  <si>
    <t>With 3x185 sq.mm AB XLPE Cable</t>
  </si>
  <si>
    <t>A-7(i)</t>
  </si>
  <si>
    <t>With 3x240 sq.mm AB XLPE Cable</t>
  </si>
  <si>
    <t>A-7(ii)</t>
  </si>
  <si>
    <t>(L)</t>
  </si>
  <si>
    <t>A-8 (i)</t>
  </si>
  <si>
    <t>A-8 (ii)</t>
  </si>
  <si>
    <t>Part-II, 33/11 kV SUB-STATIONS</t>
  </si>
  <si>
    <t>New Sub-stations:</t>
  </si>
  <si>
    <t xml:space="preserve">1.6 MVA, 33/11 kV S/s expandable to 2 x 1.6 MVA with control room </t>
  </si>
  <si>
    <t>B-1(i)</t>
  </si>
  <si>
    <t xml:space="preserve">3.15 MVA, 33/11 kV S/s expandable to 2 x 3.15 MVA with control room </t>
  </si>
  <si>
    <t>B-1(ii)</t>
  </si>
  <si>
    <t xml:space="preserve">5 MVA, 33/11 kV S/s expandable to 2 x 5 MVA with control room </t>
  </si>
  <si>
    <t>B-1(iii)</t>
  </si>
  <si>
    <t>Earlier- 33 kV Lightning Arrestor</t>
  </si>
  <si>
    <t>Earlier- 11 kV Lightning Arrestor</t>
  </si>
  <si>
    <t>11 kV Polymer Disc insulator</t>
  </si>
  <si>
    <t>Bimetallic Clamps for Transformer &amp; auto recloser</t>
  </si>
  <si>
    <t>(v) G.I. Nuts and bolts 16x65 mm</t>
  </si>
  <si>
    <t>Bimetallic clamp for Distribution Transformer (HT)</t>
  </si>
  <si>
    <t>Bimetallic clamp for Distribution Transformer (LT)</t>
  </si>
  <si>
    <t>T-Clamp for Dog Conductor.</t>
  </si>
  <si>
    <t>T-Clamp for Raccoon Conductor.</t>
  </si>
  <si>
    <t>T-Clamp for Panther Conductor.</t>
  </si>
  <si>
    <t>Jointing sleeves for Weasel, Squirrel &amp; Rabbit Conductor.</t>
  </si>
  <si>
    <t>Jointing sleeves for Panther Conductor.</t>
  </si>
  <si>
    <t>Set.</t>
  </si>
  <si>
    <t>Red Oxide Paint</t>
  </si>
  <si>
    <t xml:space="preserve">Rate  </t>
  </si>
  <si>
    <t xml:space="preserve">Jointing Sleeves (suitable for 100 Sqmm, Al. Eq. ACSR cond.)   </t>
  </si>
  <si>
    <t>Barbed Wire (@ 2 Kg/Pole)</t>
  </si>
  <si>
    <t>Barbed wire (@ 2 Kg/Pole)</t>
  </si>
  <si>
    <t>(iii) Stay Clamp For "H" Beam</t>
  </si>
  <si>
    <t>(iv) Stay Wire 7/8 SWG @ 8.5 kg/  stay</t>
  </si>
  <si>
    <t>Schedule A-2 (B) is to be supplemented with every 1.0 Km of 33 kV line.</t>
  </si>
  <si>
    <t>(iiii) Stay Clamp For "H" Beam</t>
  </si>
  <si>
    <t>(ii) Stay Clamp for "H" Beam</t>
  </si>
  <si>
    <t>(iii) Stay Clamp for "H" Beam</t>
  </si>
  <si>
    <t>Suspension H/W suitable for Panther Conductor.</t>
  </si>
  <si>
    <t>COST SCHEDULE   B-2</t>
  </si>
  <si>
    <t>( 33 kV SUB-STATION )</t>
  </si>
  <si>
    <t>POWER TRANSFORMERS</t>
  </si>
  <si>
    <t>1600 kVA</t>
  </si>
  <si>
    <t>3150 kVA</t>
  </si>
  <si>
    <t>5000 kVA</t>
  </si>
  <si>
    <t>Cost of Transformer as per Schedule of rates</t>
  </si>
  <si>
    <t>Power Transformer 1600 kVA</t>
  </si>
  <si>
    <t>Power Transformer 3150 kVA</t>
  </si>
  <si>
    <t>Power Transformer 5000 kVA</t>
  </si>
  <si>
    <t>Services for Painting</t>
  </si>
  <si>
    <t>Labour charges as per Schedule BL-3</t>
  </si>
  <si>
    <t>Transport charges upto 50 Km average lead from Area Store to construction camp including site transport (Transport Sch T-2)</t>
  </si>
  <si>
    <t>Total cost</t>
  </si>
  <si>
    <t>Total Cost (Rounded off)</t>
  </si>
  <si>
    <t>33 kV line on PCC Pole / H-Beam poles with Raccoon conductor.</t>
  </si>
  <si>
    <t>33 kV DP Structure on PCC Pole / H-Beam Pole</t>
  </si>
  <si>
    <t>33 kV line on PCC Pole / H-Beam Pole with Dog conductor.</t>
  </si>
  <si>
    <t>33 kV line on H-Beam supports suspension type with Panther Conductor (Maximum span of 50 Mtrs)</t>
  </si>
  <si>
    <t xml:space="preserve">33 kV DP Structure on H-Beam supports with Panther Conductor </t>
  </si>
  <si>
    <t>33 kV MEDP Structure on PCC Pole / H-Beam Pole</t>
  </si>
  <si>
    <t>11 kV line on H-Beam / PCC Pole with Rabbit conductor</t>
  </si>
  <si>
    <t>C-3(i)</t>
  </si>
  <si>
    <t>C-3(ii)</t>
  </si>
  <si>
    <t>C-4(i)</t>
  </si>
  <si>
    <t>C-4(ii)</t>
  </si>
  <si>
    <t xml:space="preserve">11 kV line on PCC pole </t>
  </si>
  <si>
    <t xml:space="preserve">11 kV MEDP Structure on H-Beam Pole </t>
  </si>
  <si>
    <t>33 kV Four Pole structure on PCC / H-Beam Pole</t>
  </si>
  <si>
    <t>Ring Spanners  (6x7,8x9, 10x11,12x13,14x15,16x17,18x19, 20x22x,21x23,24x27,25x28,30x32)</t>
  </si>
  <si>
    <t xml:space="preserve">Tube Spanners </t>
  </si>
  <si>
    <t>Pipe Wrench 24 inches size</t>
  </si>
  <si>
    <t>Pipe Wrench 18 inches size</t>
  </si>
  <si>
    <t>Double end spanner (6x7,8x9, 10x11,12x13,14x15,16x17,18x19, 20x22x,21x23,24x27,25x28,30x32)</t>
  </si>
  <si>
    <t>Hack saw frames + B185</t>
  </si>
  <si>
    <t>Hand Torch 5 cell</t>
  </si>
  <si>
    <t>Hand Torch 3 cell</t>
  </si>
  <si>
    <t>Discharge Rod</t>
  </si>
  <si>
    <t>Neon tester</t>
  </si>
  <si>
    <t>Screw driver Set</t>
  </si>
  <si>
    <t>Screw driver 250 mm</t>
  </si>
  <si>
    <t>Screw driver 200 mm</t>
  </si>
  <si>
    <t>Screw driver 150 mm</t>
  </si>
  <si>
    <t>Hammer 8 Lbs (3629 gm)</t>
  </si>
  <si>
    <t>Hammer 2 Lbs (907 gm.)</t>
  </si>
  <si>
    <t>Allen keys set of 9 Pcs.(1.5mm; 2mm; 2.5mm;3mm; 4mm; 5mm; 6mm; 8mm; 10mm) Black finish, box packing</t>
  </si>
  <si>
    <t>Box spanners (of size 32Af, 27A/F, 30 A/F&amp; tommy Bar)</t>
  </si>
  <si>
    <t>Transil oil Dielectric Breakdown testkit</t>
  </si>
  <si>
    <t>Tong tester</t>
  </si>
  <si>
    <t>D.C.Volt meter range - 3V to + 5V</t>
  </si>
  <si>
    <t>M.S.Pipe 200 mm dia with collars</t>
  </si>
  <si>
    <t>River sand</t>
  </si>
  <si>
    <t>Cement in 50 kg bags</t>
  </si>
  <si>
    <t>Bags</t>
  </si>
  <si>
    <t>Route &amp; joint indicating stone with M.S. anchor rod</t>
  </si>
  <si>
    <t>Cable covering tiles 250x250x40 mm</t>
  </si>
  <si>
    <t>Per 1000</t>
  </si>
  <si>
    <t>(i) Stay Clamp For PCC Pole</t>
  </si>
  <si>
    <t xml:space="preserve">Stay Clamp </t>
  </si>
  <si>
    <t>Cost per DP for non-guaranteed works</t>
  </si>
  <si>
    <t xml:space="preserve">(i) 280 Kg; 9.1 Mtr long PCC Pole </t>
  </si>
  <si>
    <t>(vii) Stay set 20 mm complete</t>
  </si>
  <si>
    <t>Cost per Km for non-guaranteed works</t>
  </si>
  <si>
    <t>Cost per Km for non-guaranteed works (Rounded off)</t>
  </si>
  <si>
    <t>33 kV Top Clamps</t>
  </si>
  <si>
    <t>33 kV Strain H.W. fitting</t>
  </si>
  <si>
    <t xml:space="preserve"> Guarding 33 kV </t>
  </si>
  <si>
    <t xml:space="preserve">(i) GI Wire 6 SWG </t>
  </si>
  <si>
    <t xml:space="preserve">(ii) GI Wire 8 SWG </t>
  </si>
  <si>
    <t>(iv) Stay Clamp Set</t>
  </si>
  <si>
    <t>(v) M.S. Nut &amp; Bolt 16x140 mm</t>
  </si>
  <si>
    <t>(viii) Stay wire 7/8 SWG &amp; 8.5 Kg/stay</t>
  </si>
  <si>
    <t>COST SCHEDULE - A-3</t>
  </si>
  <si>
    <t>COST SCHEDULE  A-4</t>
  </si>
  <si>
    <t>(vii) Stay Wire 7/8 SWG &amp; 8.5 Kg. Stay</t>
  </si>
  <si>
    <t>(i) G.I. Wire 6 SWG</t>
  </si>
  <si>
    <t>(ii) G.I. Wire 8 SWG</t>
  </si>
  <si>
    <t>Guarding 33 kV for single span</t>
  </si>
  <si>
    <t>COST SCHEDULE  A-5</t>
  </si>
  <si>
    <t>AUGMENTATION OF 33/11 kV SUB-STATION CAPACITY  BY REPLACEMENT OF POWER TRANSFORMER</t>
  </si>
  <si>
    <t>1.6 to 3.15 MVA</t>
  </si>
  <si>
    <t>3.15 to 5.0 MVA without 33 kV VCB</t>
  </si>
  <si>
    <t>3.15 to 5.0 MVA with 33 kV VCB</t>
  </si>
  <si>
    <t>33/11 kV 3.15  MVA X-mer</t>
  </si>
  <si>
    <t>33/11 kV 5.0  MVA X-mer</t>
  </si>
  <si>
    <t>33 kV VCB (With CT's and control panel)</t>
  </si>
  <si>
    <t>(i) 33 kV VCB (without CT's and panels)</t>
  </si>
  <si>
    <t>(iii) 33 kV CT's (300-150/5) Amps</t>
  </si>
  <si>
    <t>Foundation for 33 kV VCB (1:3:6)</t>
  </si>
  <si>
    <t xml:space="preserve">Terminal clamp for transformer  </t>
  </si>
  <si>
    <t xml:space="preserve">T-clamps for jumper   </t>
  </si>
  <si>
    <t>(i) Services on concreting</t>
  </si>
  <si>
    <t xml:space="preserve">Labour charges for transformer </t>
  </si>
  <si>
    <t>ROUTE &amp; JOINT INDICATING STONE WITH M.S.</t>
  </si>
  <si>
    <t>Aluminium Paint.</t>
  </si>
  <si>
    <t>Red Oxide Paint.</t>
  </si>
  <si>
    <t>LT AB CABLE 3X70+1X16 (STREET LIGHT)+1X5</t>
  </si>
  <si>
    <t>ISI MARKED CABLE ALU 1CORE 70 SQMM 1100V</t>
  </si>
  <si>
    <t>ISI MARKED CABLE ALU 1CORE 120 SQMM 1100</t>
  </si>
  <si>
    <t>ISI MARKED CABLE ALU 1CORE 35 SQMM 1100V</t>
  </si>
  <si>
    <t>ISI MARKED CABLE ALU 1CORE 50 SQMM 1100V</t>
  </si>
  <si>
    <t>1.1KV LT AB CABLE 3X16+1X16+1X25 SQMM</t>
  </si>
  <si>
    <t>1.1KV LT AB CABLE 3X25+1X16+1X25 SQMM</t>
  </si>
  <si>
    <t>1.1KV LT AB CABLE 3X35+1X16+1X25 SQMM</t>
  </si>
  <si>
    <t>11KV PVC INSULATED 2.5 SQMM TWIN CORE SI</t>
  </si>
  <si>
    <t>11KV PVC INSULATED 6 SQMM TWIN CORE SING</t>
  </si>
  <si>
    <t>11KV PVC INSULATED 10 SQMM FOUR CORE THR</t>
  </si>
  <si>
    <t>11KV PVC INSULATED 150SQMM SINGLE CORE X</t>
  </si>
  <si>
    <t>11KV PVC INSULATED 16SQMM 2 CORE ARMOURE</t>
  </si>
  <si>
    <t>11KV PVC INSULATED 10SQMM 4 CORE ARMOURE</t>
  </si>
  <si>
    <t>33KV A.B. XLPE CABLE 3X95 SQMM</t>
  </si>
  <si>
    <t>33KV A.B. XLPE CABLE 3X185 SQMM</t>
  </si>
  <si>
    <t>33KV A.B. XLPE CABLE 3X240 SQMM</t>
  </si>
  <si>
    <t>11KV ABC TERMINATION KIT 35-70 SQMM</t>
  </si>
  <si>
    <t>CABLE TIE FOR AB CABLE (UV PROTECTED BLA</t>
  </si>
  <si>
    <t>Jointing kit 33KV 3x400sqmm XLPE cable</t>
  </si>
  <si>
    <t>1.1KV STRAIGHT THROUGH JOINTING KIT FOR</t>
  </si>
  <si>
    <t>33KV END TERMINAL JOINTING KIT FOR 240SQ</t>
  </si>
  <si>
    <t>3X95 SQMM 11KV HEAT SHRINKABLE TYPE JOIN</t>
  </si>
  <si>
    <t>3X150 SQMM 11KV HEAT SHRINKABLE TYPE JOI</t>
  </si>
  <si>
    <t>3X240 SQMM 11KV HEAT SHRINKABLE TYPE JOI</t>
  </si>
  <si>
    <t>3X400 SQMM 11KV HEAT SHRINKABLE TYPE JOI</t>
  </si>
  <si>
    <t>3X95 SQMM 11KV HEAT SHRINKABLE INDOOR TY</t>
  </si>
  <si>
    <t>3X240 SQMM 11KV HEAT SHRINKABLE INDOOR T</t>
  </si>
  <si>
    <t>3X400 SQMM 11KV HEAT SHRINKABLE INDOOR T</t>
  </si>
  <si>
    <t>MARSHELLING BOX</t>
  </si>
  <si>
    <t>10 SQMM ALUMINIUM END TERMINALS (LUGS)</t>
  </si>
  <si>
    <t>Particulars of Schedules</t>
  </si>
  <si>
    <t>Schedule Reference</t>
  </si>
  <si>
    <t>%tage Incr. /  Decr. in cost</t>
  </si>
  <si>
    <t>PART-I, 33 kV LINES AND D.P. STRUCTURES</t>
  </si>
  <si>
    <t>(A)</t>
  </si>
  <si>
    <t>Earthing coil (Coil of 115 turns of 50 mm dia. &amp; 2.5 Mtrs lead of 4.0 mm GI wire)</t>
  </si>
  <si>
    <t>Barbed wire</t>
  </si>
  <si>
    <t>Concreting @ 0.6 Cmt per pole for Rail / H-Beam supports and 0.5 Cmt per pole for PCC @ 0.3 Cmt per stay and @ 0.05 Cmt per pole for base padding for PCC / Rail / H-Beam</t>
  </si>
  <si>
    <t>33 kV G.I. Pins with Nuts for 33 kV Pin Insulator</t>
  </si>
  <si>
    <t>Concreting of Rail / H-Beam supports @ 0.6 cmt. Per pole and @ 0.3 Cmt per stay and @ 0.05 cmt per pole for base padding for PCC / Rail / H- Beam pole.</t>
  </si>
  <si>
    <t>52 kgs per mtr/105 lbs yard</t>
  </si>
  <si>
    <t>MT</t>
  </si>
  <si>
    <t>60 kgs per mtr</t>
  </si>
  <si>
    <t xml:space="preserve"> 37.1 Kg/Mtr.; 13 Mtr. Length</t>
  </si>
  <si>
    <t xml:space="preserve"> 37.1 Kg/Mtr.; 11 Mtr. Length</t>
  </si>
  <si>
    <t>175 x 85 mm</t>
  </si>
  <si>
    <t>125 x 70 mm</t>
  </si>
  <si>
    <t>140 Kg; 8.0 Mtr long</t>
  </si>
  <si>
    <t xml:space="preserve">(ii) H-Beam 152x152 mm 37.1 Kg/Mtr; 13 Mtr long (482.3 Kg) / pole x 2 No = 964.6 Kgs </t>
  </si>
  <si>
    <t>COST SCHEDULE  B -1</t>
  </si>
  <si>
    <t>Km.</t>
  </si>
  <si>
    <t>16 Sq.mm.</t>
  </si>
  <si>
    <t>KM</t>
  </si>
  <si>
    <t>50 Sq.mm.</t>
  </si>
  <si>
    <t>70 Sq.mm</t>
  </si>
  <si>
    <t>150 Sq.mm</t>
  </si>
  <si>
    <t>300 Sq.mm</t>
  </si>
  <si>
    <t>400 Sq.mm</t>
  </si>
  <si>
    <t>2.5 Sqmm.</t>
  </si>
  <si>
    <t>Per Mtr.</t>
  </si>
  <si>
    <t>6.0 Sqmm.</t>
  </si>
  <si>
    <t>10 Sq.mm.</t>
  </si>
  <si>
    <t>25 Sq.mm.</t>
  </si>
  <si>
    <t>33 kV Composite Disc insulator</t>
  </si>
  <si>
    <t>33 kV Pin insulator with Pin</t>
  </si>
  <si>
    <t>11 kV Pin insulator with Pin</t>
  </si>
  <si>
    <t>Strain H/W up to Rabbit.</t>
  </si>
  <si>
    <t>Strain H/W for Raccoon &amp; Dog.</t>
  </si>
  <si>
    <t>Distribution box 3 phase 2 connectors</t>
  </si>
  <si>
    <t>Spring loaded distribution box for service connection with stainless steel buckle.</t>
  </si>
  <si>
    <t>Piercing connector for services 16-50 Sq. mm Tap off 2.5-16 Sq. mm</t>
  </si>
  <si>
    <t>Piercing connector suitable for 16 Sq.mm-95 Sq.mm AB Cable-Service connections</t>
  </si>
  <si>
    <t>Piercing connector for Main 16-50 Sq. mm Tap off 16-50 Sq. mm.</t>
  </si>
  <si>
    <t>Piercing connector suitable for 25 Sq.mm-95 Sq.mm AB Cable-main to main connections</t>
  </si>
  <si>
    <t>Piercing connector suitable for 50 Sq.mm-150 Sq.mm AB Cable-main to main connections</t>
  </si>
  <si>
    <t>33/11 kV Power Transformer</t>
  </si>
  <si>
    <t>B-2(i)</t>
  </si>
  <si>
    <t>B-2(ii)</t>
  </si>
  <si>
    <t>B-2(iii)</t>
  </si>
  <si>
    <t>Installation of additional transformer for parallel operation with one additional bay on 11 kV side</t>
  </si>
  <si>
    <t>B-3(i)</t>
  </si>
  <si>
    <t>B-3(ii)</t>
  </si>
  <si>
    <t>B-3(iii)</t>
  </si>
  <si>
    <t>11 kV Out door yard extension for additional bay with circuit breaker.</t>
  </si>
  <si>
    <t>B-4</t>
  </si>
  <si>
    <t>33 kV Out door yard extension for additional bay without circuit breaker.</t>
  </si>
  <si>
    <t>B-5</t>
  </si>
  <si>
    <t xml:space="preserve">7 Mtr long 152 x 152 mm H-Beam (37.1 Kg/ Mtr weight) ie 37.1x7mtr = 259.7 Kg/pole x 4 Nos = 1038.8 Kgs. </t>
  </si>
  <si>
    <t xml:space="preserve">11 Mtr long 152 x 152 mm H-Beam (37.1 Kg/ Mtr weight) i.e.  37.1x11 mtr =408.1 Kg/pole x 8 Nos = 3264.8 Kgs </t>
  </si>
  <si>
    <t>MS DC Cross arm (100 x 50 x 6 mm Channel) 5.2 Mtr long Set</t>
  </si>
  <si>
    <t>MS DC Cross arm (100 x 50 x 6 mm Channel) 3.8 Mtr long Set</t>
  </si>
  <si>
    <t>MS DC Cross arm (100 x 50 x 6 mm Channel) 2.7 Mtr long Set</t>
  </si>
  <si>
    <t>ACSR conductor 100 Sqmm Al Eq. (Dog)</t>
  </si>
  <si>
    <t>11 kV  G.I. Pin</t>
  </si>
  <si>
    <t>33 kV Strain Hardware fitting</t>
  </si>
  <si>
    <t>33 kV Strain Plate 8 mm thick</t>
  </si>
  <si>
    <t>Sub-total - 3</t>
  </si>
  <si>
    <t>OTHER MISCELLANEOUS ITEMS: -</t>
  </si>
  <si>
    <t>Concreting of structures &amp; foundation (1:3:6)</t>
  </si>
  <si>
    <t>(i) Cement</t>
  </si>
  <si>
    <t>70 Sqmm, 3.5 Core PVC cable</t>
  </si>
  <si>
    <t>16 Sqmm 4-core Cable for Switch yard lighting, tripping arrangement &amp; system control (armoured)</t>
  </si>
  <si>
    <t>Mercury vapour lamp for Gate lighting 2 Nos.</t>
  </si>
  <si>
    <t>Earthing of Sub-station including Distribution Transformer earthing.</t>
  </si>
  <si>
    <t xml:space="preserve">(i) 25 mm dia 2500 mm long GI rod earth electrodes </t>
  </si>
  <si>
    <t>(ii) GI earthing pipe of 40 mm dia. &amp; 2.4 mm thick 3.04 mtr long with 12 mm hole at 18 places at equal distance trapered casing at lower end .</t>
  </si>
  <si>
    <t>(iii) MS flat 50x6 mm size  (2.5 kg per meter)</t>
  </si>
  <si>
    <t xml:space="preserve">(iv) GI wire 8 SWG </t>
  </si>
  <si>
    <t>(v) GI Nuts and bolts 16x40 mm</t>
  </si>
  <si>
    <t>(vi) GI Nuts and bolts 16x65 mm</t>
  </si>
  <si>
    <t>CORRECTED FROM 16X60</t>
  </si>
  <si>
    <t>(vii) GI Spring washers</t>
  </si>
  <si>
    <t>MS Nuts &amp; Bolts</t>
  </si>
  <si>
    <t>(i) MS Nuts and bolts 16x40 mm</t>
  </si>
  <si>
    <t>(ii) MS Nuts and bolts 16x65 mm</t>
  </si>
  <si>
    <t>(iii) MS Nuts and bolts 16x90 mm</t>
  </si>
  <si>
    <t>(iv) MS Nuts and bolts 16x160 mm</t>
  </si>
  <si>
    <t xml:space="preserve">25 mm dia 2500 mm long GI rod earth electrodes </t>
  </si>
  <si>
    <t xml:space="preserve">Transport charges upto 50 Km lead from area stores to construction site for addl. lead refer Schedule T-2. </t>
  </si>
  <si>
    <t>Total cost: -</t>
  </si>
  <si>
    <t>Total cost (Rounded off): -</t>
  </si>
  <si>
    <t>Note :-</t>
  </si>
  <si>
    <t>COST SCHEDULE  B-5</t>
  </si>
  <si>
    <t>33 kV  OUT DOOR  YARD  EXTENSION  FOR  ADDITIONAL  BAY.</t>
  </si>
  <si>
    <t>Qnty.</t>
  </si>
  <si>
    <t xml:space="preserve"> H Beam 152x152 mm 37.1 kg/mtr 8 Mtr i.e. 296.8 kg/pole x 2 Nos = 593.6 Kgs</t>
  </si>
  <si>
    <t>MS DC cross arm (100x50 mm), 5.2 Mtr. long for bus bar</t>
  </si>
  <si>
    <t>Strain set with hardware suitable for 80 Sqmm ACSR conductor for 33 kV bus(3 disc insulator per disc)</t>
  </si>
  <si>
    <t>(ii) 33 kV Hardware</t>
  </si>
  <si>
    <t xml:space="preserve">33 kV Isolator (600 A.) with earth switch  </t>
  </si>
  <si>
    <t xml:space="preserve">Terminal clamp for isolators   </t>
  </si>
  <si>
    <t xml:space="preserve">T-clamps for bus jumper  </t>
  </si>
  <si>
    <t>ACSR 100 Sqmm Al. Eq. Conductor</t>
  </si>
  <si>
    <t>Concreting of structure (1:3:6)</t>
  </si>
  <si>
    <t>11 kV VCB for feeder protection with CTs &amp; panel.</t>
  </si>
  <si>
    <t>(i) 11 kV VCB with Relay &amp; Control Panel</t>
  </si>
  <si>
    <t>7131941762+7131960008=7131960497</t>
  </si>
  <si>
    <t>(ii) 11 kV CT's 200-100/5 Amps</t>
  </si>
  <si>
    <t>H.R.C. FUSE UNITS: -200 Amps.</t>
  </si>
  <si>
    <t>H.R.C. FUSE UNITS: -300 Amps.</t>
  </si>
  <si>
    <t>F WIRE TINNED COPER 22 SWG24 AMP.RATING</t>
  </si>
  <si>
    <t>FUSE WIRE TINNED COPPER 20 SWG FOR 34 AM</t>
  </si>
  <si>
    <t>FUSE WIRE TINNED COPPER 18 SWG FOR 45 AM</t>
  </si>
  <si>
    <t>FUSE WIRE TINNED COPPER 16 SWG FOR 73 AM</t>
  </si>
  <si>
    <t>FUSE WIRE TINNED COPPER 14 SWG FOR 102 A</t>
  </si>
  <si>
    <t>FUSE WIRE TINNED COPPER 12 SWG</t>
  </si>
  <si>
    <t>FUSE WIRE TINNED COPPER 10 SWG</t>
  </si>
  <si>
    <t>PORCELAIN KIT-KATS FUSE UNITS 32 Amps.</t>
  </si>
  <si>
    <t>PORCELAIN KIT-KATS FUSE UNITS 63 Amps.</t>
  </si>
  <si>
    <t>LT line conversion using Rabbit conductor maximum span of 45 mtrs</t>
  </si>
  <si>
    <t>1 phase 2 wire to 1 phase 3 wire conversion</t>
  </si>
  <si>
    <t>D-11(I)</t>
  </si>
  <si>
    <t>1 phase 2 wire to 3 phase 4 wire conversion</t>
  </si>
  <si>
    <t>D-11(II)</t>
  </si>
  <si>
    <t>1 phase 3 wire to 3 phase 4 wire conversion</t>
  </si>
  <si>
    <t>D-11(III)</t>
  </si>
  <si>
    <t>1 phase 3 wire to 3 phase 5 wire conversion</t>
  </si>
  <si>
    <t>D-11(IV)</t>
  </si>
  <si>
    <t>Conversion of 1 Km 1 Phase 3 wire LT line into 11 kV line</t>
  </si>
  <si>
    <t>D-12</t>
  </si>
  <si>
    <t>(S)</t>
  </si>
  <si>
    <t>Conversion of 1 Km 3 Phase 5 wire LT line into 11 kV line</t>
  </si>
  <si>
    <t>D-13</t>
  </si>
  <si>
    <t>(T)</t>
  </si>
  <si>
    <t>Distribution Box on existing LT Lines for Service Connections.</t>
  </si>
  <si>
    <t>Single phase Distn. Box for 20 Connections</t>
  </si>
  <si>
    <t>D-14 (i)</t>
  </si>
  <si>
    <t>Three phase Distn. Box for 06 Connections</t>
  </si>
  <si>
    <t>D-14 (ii)</t>
  </si>
  <si>
    <t>(U)</t>
  </si>
  <si>
    <t>1 phase 2 Wire line on 140 kg 8.0 Mtr.long PCC poles with 1100 V grade AB XLPE Cable 1x16+1x25 sq.mm.</t>
  </si>
  <si>
    <t xml:space="preserve">D-15 </t>
  </si>
  <si>
    <t>PART-VII,  METERING</t>
  </si>
  <si>
    <t>Metering of 11/0.4 kV Distribution X'mer</t>
  </si>
  <si>
    <t>E-1(I)</t>
  </si>
  <si>
    <t>E-1(II)</t>
  </si>
  <si>
    <t>E-1(III)</t>
  </si>
  <si>
    <t>E-1(IV)</t>
  </si>
  <si>
    <t xml:space="preserve">             2.   All the rates are with considering price variation clause.</t>
  </si>
  <si>
    <t>COST SCHEDULE   A-8</t>
  </si>
  <si>
    <t>Labour charges as per Schedule No.- AL-2(A)</t>
  </si>
  <si>
    <t>60 Kg/Mtr 13.0 Mtr long Rails (780 Kg each) x 1 No = 780 Kgs</t>
  </si>
  <si>
    <t>Concreting of Rail / H-Beam support @ 0.6 Cmt. per pole and @ 0.05 Cmt per pole for base padding of Rail / H-Beam pole.</t>
  </si>
  <si>
    <t>152x152 mm 37.1 Kg/Mtr 13 M (482.30 Kg) long H-Beam</t>
  </si>
  <si>
    <t>60 Kg/Mtr 13.0 Mtr long Rails (780 Kg each) x 20 No = 15600 Kgs</t>
  </si>
  <si>
    <t>33 kV Polymer Disc Insulator (9X20=180)</t>
  </si>
  <si>
    <t>Stay Clamp for Rail Pole A Type</t>
  </si>
  <si>
    <t>Stay Clamp for Rail Pole B Type</t>
  </si>
  <si>
    <t xml:space="preserve">Concreting of Rail / H-Beam Supports @ 0.6 Cmt. Per Pole; @ 0.05 Cmt. per Pole for base Padding &amp; @ 0.3 Cmt. Per stay </t>
  </si>
  <si>
    <t>(x) Stay Clamp for Rail Pole B Type</t>
  </si>
  <si>
    <t>(ix) Stay Clamp for Rail Pole A Type</t>
  </si>
  <si>
    <t>(xi) MS Nut &amp; Bolt 16x90 mm</t>
  </si>
  <si>
    <t xml:space="preserve">On 280 Kg 9.1 Mtrs long PCC poles </t>
  </si>
  <si>
    <t>A-1(i)</t>
  </si>
  <si>
    <t>LT 3 phase 4 Wire Aerial Bunched Cable of Size 3X16+1x25</t>
  </si>
  <si>
    <t>70 Sq.mm, 3.5 Core</t>
  </si>
  <si>
    <t>150 Sq.mm, 3.5 Core</t>
  </si>
  <si>
    <t>300 Sq.mm, 3.5 Core</t>
  </si>
  <si>
    <t>400 Sq.mm, 3.5 Core</t>
  </si>
  <si>
    <t>3x400 Sq.mm.</t>
  </si>
  <si>
    <t>95 Sq.mm</t>
  </si>
  <si>
    <t>120 Sq.mm</t>
  </si>
  <si>
    <t>240 Sq.mm</t>
  </si>
  <si>
    <t>3x70 Sq.mm</t>
  </si>
  <si>
    <t>3x95 Sq.mm</t>
  </si>
  <si>
    <t>3x150 Sq.mm</t>
  </si>
  <si>
    <t>3x240 Sq. mm</t>
  </si>
  <si>
    <t>3x400 Sq. mm</t>
  </si>
  <si>
    <t>Battery charger</t>
  </si>
  <si>
    <t>Battery (Low Maintenance SAN controller)</t>
  </si>
  <si>
    <t>CFL 7 Watts</t>
  </si>
  <si>
    <t>CFL 11 Watts</t>
  </si>
  <si>
    <t>Strain Plate (65x8) mm</t>
  </si>
  <si>
    <t xml:space="preserve">16 kVA (4 Star) Aluminium Wound </t>
  </si>
  <si>
    <t xml:space="preserve">25 kVA (4 Star) Aluminium Wound </t>
  </si>
  <si>
    <t xml:space="preserve">63 kVA (4 Star) Aluminium Wound </t>
  </si>
  <si>
    <t xml:space="preserve">100 kVA (4 Star) Aluminium Wound </t>
  </si>
  <si>
    <t xml:space="preserve">200 kVA (4 Star) Aluminium Wound </t>
  </si>
  <si>
    <t xml:space="preserve">16 kVA (3 Star) Copper Wound </t>
  </si>
  <si>
    <t xml:space="preserve">25 kVA (3 Star) Aluminium Wound </t>
  </si>
  <si>
    <t>63 kVA (3 Star) Aluminium Wound</t>
  </si>
  <si>
    <t>100 kVA (3 Star) Aluminium Wound</t>
  </si>
  <si>
    <t>200 kVA (3 Star) Aluminium Wound</t>
  </si>
  <si>
    <t>25 kVA (Conventional)</t>
  </si>
  <si>
    <t xml:space="preserve">63 kVA (Conventional) </t>
  </si>
  <si>
    <t xml:space="preserve">100 kVA (Conventional) </t>
  </si>
  <si>
    <t xml:space="preserve">200 kVA (Conventional) </t>
  </si>
  <si>
    <t xml:space="preserve">315 kVA (Conventional) </t>
  </si>
  <si>
    <t xml:space="preserve">315 kVA (CEA Design) </t>
  </si>
  <si>
    <t xml:space="preserve">500 kVA (Conventional) </t>
  </si>
  <si>
    <t xml:space="preserve">5 kVA Single Phase </t>
  </si>
  <si>
    <t xml:space="preserve">10 kVA Single Phase </t>
  </si>
  <si>
    <t>50 kVA (Copper winding)</t>
  </si>
  <si>
    <t>KL</t>
  </si>
  <si>
    <t>Incidental Charges @ 9% : -</t>
  </si>
  <si>
    <t xml:space="preserve">SUB TOTAL-1 </t>
  </si>
  <si>
    <t xml:space="preserve">SUB TOTAL-2 </t>
  </si>
  <si>
    <t>Overhead Charges @ 11% [Market Fluctuation, Service Tax, Contractor's profit etc.]</t>
  </si>
  <si>
    <t>Transportation charges</t>
  </si>
  <si>
    <r>
      <t>33 kV VCB</t>
    </r>
    <r>
      <rPr>
        <sz val="10"/>
        <rFont val="Verdana"/>
        <family val="2"/>
      </rPr>
      <t xml:space="preserve"> without control panel &amp; CT's.</t>
    </r>
  </si>
  <si>
    <t>1 Feeder + 1 Transformer (Static Relays)</t>
  </si>
  <si>
    <r>
      <t xml:space="preserve">33 kV </t>
    </r>
    <r>
      <rPr>
        <sz val="10"/>
        <rFont val="Verdana"/>
        <family val="2"/>
      </rPr>
      <t>Transformer Control Panel (Static Relays)</t>
    </r>
  </si>
  <si>
    <r>
      <t>33 kV</t>
    </r>
    <r>
      <rPr>
        <sz val="10"/>
        <rFont val="Verdana"/>
        <family val="2"/>
      </rPr>
      <t xml:space="preserve"> feeder control panel (Static Relays).</t>
    </r>
  </si>
  <si>
    <t>11 kV Sectionalizer.</t>
  </si>
  <si>
    <t>11 kV ; 600 Amps.</t>
  </si>
  <si>
    <t>33 kV ; 600 Amps with earth switch.</t>
  </si>
  <si>
    <t>Labour charges as per Schedule No BL-5</t>
  </si>
  <si>
    <t xml:space="preserve">Transport charges upto 50 Km lead from Area stores to construction site for addl lead refer Schedule T-2. </t>
  </si>
  <si>
    <t>Note: -For the provision of 33 kV VCB installation, the cost Schedule No.- B-6 may be referred to. All the rates are with considering price variation clause</t>
  </si>
  <si>
    <t>COST SCHEDULE B-6</t>
  </si>
  <si>
    <t>INSTALLATION OF  33 kV  VCB</t>
  </si>
  <si>
    <t>33 kV VCB with control panel &amp; CT</t>
  </si>
  <si>
    <t>33 kV VCB (without CT's &amp; Panel)</t>
  </si>
  <si>
    <t>33 kV Control Panel</t>
  </si>
  <si>
    <t>33 kV CT's 300-150/5 Amps</t>
  </si>
  <si>
    <t>Foundation of 33 kV breaker</t>
  </si>
  <si>
    <t>Cement</t>
  </si>
  <si>
    <t xml:space="preserve">Control cabling </t>
  </si>
  <si>
    <t xml:space="preserve">Terminal clamps  </t>
  </si>
  <si>
    <t xml:space="preserve">Tee clamp for jumper   </t>
  </si>
  <si>
    <t>Services on Concreting for foundation of VCB.</t>
  </si>
  <si>
    <t>Labour charges as per Schedule No BL-6</t>
  </si>
  <si>
    <t xml:space="preserve">Transportation charges </t>
  </si>
  <si>
    <t>Grand Total</t>
  </si>
  <si>
    <t>Grand Total (Rounded off): -</t>
  </si>
  <si>
    <t>INSTALLATION OF SINGLE PHASE A.B. SWITCH ON EXISTING FEEDER OUT GOING  D.P. FROM  33/11 kV SUB-STATION</t>
  </si>
  <si>
    <t xml:space="preserve">Single phase A.B. Switch with complete fitting  </t>
  </si>
  <si>
    <t>Rabbit (50 Sqmm) ACSR conductor for jumpering</t>
  </si>
  <si>
    <t>Back clamps</t>
  </si>
  <si>
    <t xml:space="preserve">Binding wire and tape  </t>
  </si>
  <si>
    <t>Labour charges as per Schedule No BL-7</t>
  </si>
  <si>
    <t>Note:--  All the rates are with considering price variation clause.</t>
  </si>
  <si>
    <t>COST  SCHEDULE   B-8</t>
  </si>
  <si>
    <t>A-5 (i)</t>
  </si>
  <si>
    <t xml:space="preserve">Service in lieu of Earthing Coal &amp; Sand etc </t>
  </si>
  <si>
    <t>33 kV "V" Cross arm 75x75x6 mm</t>
  </si>
  <si>
    <t>Cable tie (UV protected black colour) for AB Cable (at every two meter)</t>
  </si>
  <si>
    <t>Note:-</t>
  </si>
  <si>
    <t>37.1 Kg/Mtr 13.0 Mtr long H-Beam</t>
  </si>
  <si>
    <t>SCHEDULE  FOR  AUGMENTATION  OF  1 kM  OF  33 kV LINE  FROM  RACCOON  TO  DOG  CONDUCTOR</t>
  </si>
  <si>
    <t>SCHEDULE  FOR  33 kV  UNDERGROUND CABLE  ROAD  CROSSING FOR 50 MTR. LENGTH, UNDER 2.5 MTR. DEEP FROM GROUND LEVEL SINGLE FEEDER LINE</t>
  </si>
  <si>
    <t>End terminating jointing kit for 240 sqmm XLPE cable</t>
  </si>
  <si>
    <t>33 kV XLPE 240 sqmm 3 core UG Cable</t>
  </si>
  <si>
    <t>C-13(III)</t>
  </si>
  <si>
    <t>Plinth mounted 11/.4 kV Outdoor Sub-station</t>
  </si>
  <si>
    <t>C-14(I)</t>
  </si>
  <si>
    <t>C-14(II)</t>
  </si>
  <si>
    <t>C-14(III)</t>
  </si>
  <si>
    <t>PART-VI,  L.T. LINES</t>
  </si>
  <si>
    <t>3 phase, 5 wire LT line on 140 Kg, 8.0 Mtr long PCC poles with following conductors</t>
  </si>
  <si>
    <t>4 Rabbit + 1 Squirrel</t>
  </si>
  <si>
    <t>D-1(I)</t>
  </si>
  <si>
    <t>3 Rabbit + 2 Squirrel</t>
  </si>
  <si>
    <t>D-1(II)</t>
  </si>
  <si>
    <t>4 Weasel + 1 Squirrel</t>
  </si>
  <si>
    <t>D-1(III)</t>
  </si>
  <si>
    <t>3 Weasel + 2 Squirrel</t>
  </si>
  <si>
    <t>D-1(IV)</t>
  </si>
  <si>
    <t>5 Squirrel</t>
  </si>
  <si>
    <t>D-1(V)</t>
  </si>
  <si>
    <t>3 phase, 4 wire LT line on 140 Kg, 8.0 Mtr long PCC poles with following conductors</t>
  </si>
  <si>
    <t>3 Rabbit + 1 Squirrel</t>
  </si>
  <si>
    <t>D-2(I)</t>
  </si>
  <si>
    <t>3 Weasel + 1 Squirrel</t>
  </si>
  <si>
    <t>D-2(II)</t>
  </si>
  <si>
    <t>4 Squirrel</t>
  </si>
  <si>
    <t>D-2(III)</t>
  </si>
  <si>
    <t>1 phase, 3 wire LT line on 140 Kg, 8.0 Mtr long PCC poles with following conductors</t>
  </si>
  <si>
    <t>1 Rabbit + 1 Weasel + 1 Squirrel</t>
  </si>
  <si>
    <t>D-3(I)</t>
  </si>
  <si>
    <t>2 Weasel + 1 Squirrel</t>
  </si>
  <si>
    <t>D-3(II)</t>
  </si>
  <si>
    <t>3 Squirrel</t>
  </si>
  <si>
    <t>D-3(III)</t>
  </si>
  <si>
    <t>AB Switch with complete fitting 11 KV</t>
  </si>
  <si>
    <t>AB SWITCH WITH COMPLETE FITTING. 33 KV</t>
  </si>
  <si>
    <t>DO fuse units 11KV</t>
  </si>
  <si>
    <t>D.O. FUSE UNITS 33 KV</t>
  </si>
  <si>
    <t>ISOLATORS COMPLETE SET11 KV; 600 Amps.</t>
  </si>
  <si>
    <t>33 KV Isolator 800A without earth switch</t>
  </si>
  <si>
    <t>METER MVAR 50-0-50 32 CTR-400/1,PTR-132</t>
  </si>
  <si>
    <t>MOULDED CASE CIRCUIT BREAKER 250/300A</t>
  </si>
  <si>
    <t>11 KV VCB without control panel &amp; CT's.</t>
  </si>
  <si>
    <t>33KV VCB FOR 30 VOLT DC</t>
  </si>
  <si>
    <t>DISTRIBUTION BOX 1 PH 4 CONNECTOR</t>
  </si>
  <si>
    <t>DISTRIBUTION BOX 1 PH 9 CONNECTOR</t>
  </si>
  <si>
    <t>DISTRIBUTION BOX 3 PH 2 CONNECTOR</t>
  </si>
  <si>
    <t>DISTRIBUTION BOX 3 PH 4 CONNECTOR</t>
  </si>
  <si>
    <t>SPRING LOADED DIST. BOX FOR SERVICE CONN</t>
  </si>
  <si>
    <t>DISTRIBUTION BOX FOR MCCB TYPE 63 KVA TR</t>
  </si>
  <si>
    <t>DISTRIBUTION BOX FOR MSEB TYPE 100 KVA T</t>
  </si>
  <si>
    <t>DISTRIBUTION BOX FOR 200KVA TRANSFORMER</t>
  </si>
  <si>
    <t>DISTRIBUTION BOX FOR 315 KVA XMER WITH F</t>
  </si>
  <si>
    <t>33KV CONTROL &amp; RELAY PANEL- FEEDER CONTR</t>
  </si>
  <si>
    <t>33KV CONTROL &amp; RELAY PANEL- TRANSFORMER</t>
  </si>
  <si>
    <t>11KV CONTROL &amp; RELAY PANEL- FEEDER CONTR</t>
  </si>
  <si>
    <t>11KV CONTROL &amp; RELAY PANEL- TRANSFORMER</t>
  </si>
  <si>
    <t>11KV MULTICIRCUIT(2F) CONTROL PANNELS (S</t>
  </si>
  <si>
    <t>11KV MULTICIRCUIT ONE TRANSFORMER &amp; ONE</t>
  </si>
  <si>
    <t>33KV MULTICIRCUIT ONE TRANSFORMER &amp; ONE</t>
  </si>
  <si>
    <t>FIBER GLASS DISCHARGE ROD</t>
  </si>
  <si>
    <t>PLIER COMBINATION SIDE CUTTING 200 MM</t>
  </si>
  <si>
    <t>SCREW DRIVER 250MM</t>
  </si>
  <si>
    <t>SCREW DRIVER 200MM</t>
  </si>
  <si>
    <t>RM (light)</t>
  </si>
  <si>
    <t>LT Capacitor for 25 kVA DT</t>
  </si>
  <si>
    <t>LT Capacitor for 63 kVA DT</t>
  </si>
  <si>
    <t>LT Capacitor for 100 kVA DT</t>
  </si>
  <si>
    <t>LT Capacitor for 200 kVA DT</t>
  </si>
  <si>
    <t>LT Capacitor for 315 kVA DT</t>
  </si>
  <si>
    <t>(33/11 kV SUB-STATIONS)</t>
  </si>
  <si>
    <t>Earlier -Disc Insulator</t>
  </si>
  <si>
    <t>(i) 33 kV Polymer Disc Insulator</t>
  </si>
  <si>
    <t>COST SCHEDULE - B-7</t>
  </si>
  <si>
    <t>16 SQMM ALUMINIUM END TERMINALS (LUGS)</t>
  </si>
  <si>
    <t>50 SQMM ALUMINIUM END TERMINALS (LUGS)</t>
  </si>
  <si>
    <t>70 SQMM ALUMINIUM END TERMINALS (LUGS)</t>
  </si>
  <si>
    <t>95 SQMM ALUMINIUM END TERMINALS (LUGS)</t>
  </si>
  <si>
    <t>120 SQMM ALUMINIUM END TERMINALS (LUGS)</t>
  </si>
  <si>
    <t>150 SQMM ALUMINIUM END TERMINALS (LUGS)</t>
  </si>
  <si>
    <t>300 SQMM ALUMINIUM END TERMINALS (LUGS)</t>
  </si>
  <si>
    <t>PRE- INSULATED BIMETALLIC CRIMPING TYPE</t>
  </si>
  <si>
    <t>INSULATING PIERCING CONNECTOR AB CABLE(S</t>
  </si>
  <si>
    <t>INSULATING PIERCING CONNECTOR FOR AB CAB</t>
  </si>
  <si>
    <r>
      <t xml:space="preserve">                                            </t>
    </r>
    <r>
      <rPr>
        <b/>
        <u val="single"/>
        <sz val="10"/>
        <rFont val="Arial"/>
        <family val="2"/>
      </rPr>
      <t xml:space="preserve"> (33/11 kV SUB-STATIONS</t>
    </r>
    <r>
      <rPr>
        <b/>
        <sz val="10"/>
        <rFont val="Arial"/>
        <family val="2"/>
      </rPr>
      <t>)</t>
    </r>
  </si>
  <si>
    <r>
      <t>Rate</t>
    </r>
    <r>
      <rPr>
        <b/>
        <sz val="10"/>
        <rFont val="Arial"/>
        <family val="2"/>
      </rPr>
      <t xml:space="preserve"> </t>
    </r>
  </si>
  <si>
    <t>11 kV Polymer Disc insulator for double disc</t>
  </si>
  <si>
    <t>Earlier-11 kV Pin Insulator</t>
  </si>
  <si>
    <t>DELETED IN 2015-16</t>
  </si>
  <si>
    <t xml:space="preserve"> DELETED IN 2015-16</t>
  </si>
  <si>
    <t>Earlier-11 kV Lightning Arrestor</t>
  </si>
  <si>
    <t>75 x 75 x 6 mm</t>
  </si>
  <si>
    <t>1:1.5:3 Ratio</t>
  </si>
  <si>
    <t>1:3:6 Ratio</t>
  </si>
  <si>
    <t>0.02 Sq.inch (20 Sqmm Al. Eq.) (Squirrel)</t>
  </si>
  <si>
    <t>0.03 Sq.inch (30 Sqmm Al. Eq.) (Weasel)</t>
  </si>
  <si>
    <t>0.05 Sq.inch (50 Sqmm Al. Eq.) (Rabbit)</t>
  </si>
  <si>
    <t>0.075 Sq.inch (80 Sqmm Al. Eq.) (Raccoon)</t>
  </si>
  <si>
    <t>0.10 Sq.inch (100 Sqmm Al. Eq.) (Dog)</t>
  </si>
  <si>
    <t>0.2 Sq inch ( 130 Sqmm Al.Eq.)(Panther)</t>
  </si>
  <si>
    <t>0.02 Sq.inch (20/22 Sqmm Al. Eq.) (Squirrel)</t>
  </si>
  <si>
    <t>0.03 Sq.inch (30/34 Sqmm Al. Eq.) (Weasel)</t>
  </si>
  <si>
    <t>0.05 Sq.inch (50/55 Sqmm Al. Eq.) (Rabbit)</t>
  </si>
  <si>
    <t xml:space="preserve">Disc insulator </t>
  </si>
  <si>
    <t>11 kV Pin insulator</t>
  </si>
  <si>
    <t xml:space="preserve">33 kV Pin insulator </t>
  </si>
  <si>
    <t>11 kV Post Insulator</t>
  </si>
  <si>
    <t>33 kV Post Insulator</t>
  </si>
  <si>
    <t>90 x 75 mm.</t>
  </si>
  <si>
    <t>65 x 50 mm.</t>
  </si>
  <si>
    <t>Stay insulator</t>
  </si>
  <si>
    <t>Split insulator</t>
  </si>
  <si>
    <t>Files of sizes</t>
  </si>
  <si>
    <t>Safety belts</t>
  </si>
  <si>
    <t>Safety helmets</t>
  </si>
  <si>
    <t>POLYCARBONATE SEAL</t>
  </si>
  <si>
    <t>METTING RUBBER 1900X1800X12MM</t>
  </si>
  <si>
    <t>TRANSFORMER OIL In Tanker/barrel</t>
  </si>
  <si>
    <t>POLY CORBONATE SEAL DOUBLE ANKER TYPE</t>
  </si>
  <si>
    <t>HDPE PIPE 200MM ID; 240MM OD</t>
  </si>
  <si>
    <t>JOINTING ARRANGEMENT OF HDPE PIPE</t>
  </si>
  <si>
    <t>30 Volt 100 AH lead acid battery charger</t>
  </si>
  <si>
    <t>PVC INSULATION TAPES 19 MM WIDE AND IN R</t>
  </si>
  <si>
    <t>COST SCHEDULE --  A-3 (B)</t>
  </si>
  <si>
    <t xml:space="preserve">Transport charges upto 50 Kms average lead from area stores to construction camp including site Transport (Trans. Schedule T-1) </t>
  </si>
  <si>
    <t>G.I. bend 200 mm</t>
  </si>
  <si>
    <t>3 Nos earthing cost Rs 5485.56, thus per earthing cost Rs 1828.52</t>
  </si>
  <si>
    <r>
      <t>Fire fighting equipments  CO</t>
    </r>
    <r>
      <rPr>
        <vertAlign val="subscript"/>
        <sz val="10"/>
        <rFont val="Verdana"/>
        <family val="2"/>
      </rPr>
      <t>2</t>
    </r>
    <r>
      <rPr>
        <sz val="10"/>
        <rFont val="Verdana"/>
        <family val="2"/>
      </rPr>
      <t xml:space="preserve"> fire extinguisher of 2 Kg Capacity)  </t>
    </r>
  </si>
  <si>
    <t>Concreting of Rail / H-Beam supports @ 0.6 Cmt per pole and @ 0.5 Cmt per pole for PCC; @ 0.3 Cmt per stay and @ 0.05 Cmt per pole for base padding for PCC / Rail / H-Beam pole.</t>
  </si>
  <si>
    <t>CURRENT TRANSFORMER 100-50/1/1A SUITABLE</t>
  </si>
  <si>
    <t>C.T. 132KV 200-100/1/1A SUITABLE</t>
  </si>
  <si>
    <t>CURRENT X-MER 300-150/1/1A - 132KV</t>
  </si>
  <si>
    <t>OIL IMM 3 PH CTPT UNITS 11 KV 7.5/5 A</t>
  </si>
  <si>
    <t>CT/PT UNIT 11KV/110 V 10/5 A OIL IMMERSE</t>
  </si>
  <si>
    <t>OIL IMM 3 PH CTPT UNITS 11 KV 15/5 A</t>
  </si>
  <si>
    <t>OIL IMM 3 PH CTPT UNITS 11 KV 300-150/5A</t>
  </si>
  <si>
    <t>OIL IMM 3 PH CTPT UNITS 11 KV 25/5 A</t>
  </si>
  <si>
    <t>OIL IMM 3 PH CTPT UNITS 11 KV 75/5 A</t>
  </si>
  <si>
    <t>OIL IMM 3 PH CTPT UNITS 11 KV 200-100/5A</t>
  </si>
  <si>
    <t>OIL IMMERSED 3 PH CTPT UNITS-11 KV 50/5A</t>
  </si>
  <si>
    <t>OIL IMM 3 PH CTPT UNITS 33 KV - 20/5 A</t>
  </si>
  <si>
    <t>OIL IMM 3 PH CTPT UNITS 33 KV-200-100/5A</t>
  </si>
  <si>
    <t>OIL IMM 3 PH CTPT UNITS 33 KV - 5/5A</t>
  </si>
  <si>
    <t>OIL IMM 3 PH CTPT UNITS 33 KV - 10/5 A</t>
  </si>
  <si>
    <t>33 kV Polymer Lightning Arrestor</t>
  </si>
  <si>
    <t>11 kV Polymer Lightning Arrestor</t>
  </si>
  <si>
    <t>33 kV Polymer Lightning Arrestors</t>
  </si>
  <si>
    <t>Earlier 33 kV Gapless type LA used</t>
  </si>
  <si>
    <t>(iii) 60 Kg/Mtr 13.0 Mtr long Rail Pole (780 Kg each) x 2 No = 1560 Kgs</t>
  </si>
  <si>
    <t>RUBBER HAND GLOVES</t>
  </si>
  <si>
    <t>CO2 TYPE EXTINGUISHER ,2 KG CAPACITY</t>
  </si>
  <si>
    <t>RAIN COATS WITH HOODS</t>
  </si>
  <si>
    <t>GUM BOOTS</t>
  </si>
  <si>
    <t>SILICA GEL</t>
  </si>
  <si>
    <t>(v) MS Nuts and bolts 16x200 mm</t>
  </si>
  <si>
    <t>(vi) MS Nuts and bolts 16x250 mm</t>
  </si>
  <si>
    <t xml:space="preserve">Furniture </t>
  </si>
  <si>
    <t>(i) Table 4'x2.5'</t>
  </si>
  <si>
    <t>(ii) Chair</t>
  </si>
  <si>
    <t>(iii) Small Steel Almirah 50''</t>
  </si>
  <si>
    <t xml:space="preserve"> Fire fighting equipments </t>
  </si>
  <si>
    <t xml:space="preserve">(i) Fire fighting equipments (dry chemical powder type 5 Kg capacity) </t>
  </si>
  <si>
    <r>
      <t>(ii) Fire fighting equipments CO</t>
    </r>
    <r>
      <rPr>
        <vertAlign val="subscript"/>
        <sz val="11"/>
        <rFont val="Arial"/>
        <family val="2"/>
      </rPr>
      <t>2</t>
    </r>
    <r>
      <rPr>
        <sz val="11"/>
        <rFont val="Arial"/>
        <family val="2"/>
      </rPr>
      <t xml:space="preserve"> fire extinguisher of 2 Kg Capacity)  </t>
    </r>
  </si>
  <si>
    <t xml:space="preserve">Electrically insulated 11 kV mats infront of electrical control panel </t>
  </si>
  <si>
    <t>Distribution box 3 phase 5 connectors along with 2 Nos. Steel Strap &amp; Buckles.</t>
  </si>
  <si>
    <t>Yard levelling &amp; Moorum filling 40x30 x 0.30 m area</t>
  </si>
  <si>
    <t>G.I. pipe 200 mm for 400 sqmm cable of dia 105 mm</t>
  </si>
  <si>
    <t xml:space="preserve">(vi) I--Bolt Big Size </t>
  </si>
  <si>
    <t xml:space="preserve">(i) G.I. Wire 6 SWG </t>
  </si>
  <si>
    <t xml:space="preserve">(ii) G.I. Wire 8 SWG </t>
  </si>
  <si>
    <t xml:space="preserve">33 kV G.I. Pins with Nuts </t>
  </si>
  <si>
    <t>Cement @ 208 kg/ Cmt</t>
  </si>
  <si>
    <r>
      <t xml:space="preserve">Binding wire and tape                 </t>
    </r>
    <r>
      <rPr>
        <sz val="18"/>
        <rFont val="Arial"/>
        <family val="2"/>
      </rPr>
      <t xml:space="preserve">  </t>
    </r>
  </si>
  <si>
    <t xml:space="preserve">Jointing Sleeves suitable ( for 80 Sqmm, Al.Eq. ACSR cond.)   </t>
  </si>
  <si>
    <t xml:space="preserve">Binding wire and tape    </t>
  </si>
  <si>
    <t xml:space="preserve"> ACSR  Panther Conductor with 5% sag  </t>
  </si>
  <si>
    <t xml:space="preserve">Jointing Sleeves suitable for Panther conductor  </t>
  </si>
  <si>
    <r>
      <t xml:space="preserve">Binding Wire &amp; Tape     </t>
    </r>
    <r>
      <rPr>
        <sz val="14"/>
        <rFont val="Arial"/>
        <family val="2"/>
      </rPr>
      <t xml:space="preserve"> </t>
    </r>
    <r>
      <rPr>
        <sz val="10"/>
        <rFont val="Arial"/>
        <family val="0"/>
      </rPr>
      <t xml:space="preserve">  </t>
    </r>
  </si>
  <si>
    <t xml:space="preserve">33 kV Tension Hardware suitable for Panther Conductor   </t>
  </si>
  <si>
    <t xml:space="preserve">33 kV Suspension Hardware suitable for Panther Conductor   </t>
  </si>
  <si>
    <t>Cost (Rounded Off)</t>
  </si>
  <si>
    <t>COST SCHEDULE   A-6</t>
  </si>
  <si>
    <t>(ii)</t>
  </si>
  <si>
    <t>Services on Cable trench (separate trench  for power cable &amp; control cable).</t>
  </si>
  <si>
    <t>(iii)</t>
  </si>
  <si>
    <t>Services on Painting of structures</t>
  </si>
  <si>
    <t>(iv)</t>
  </si>
  <si>
    <t xml:space="preserve">Services on Labelling of equipments </t>
  </si>
  <si>
    <t>(v)</t>
  </si>
  <si>
    <t>Services on concreting</t>
  </si>
  <si>
    <t>Labour charges as per sch. (BL-1+BL-3)</t>
  </si>
  <si>
    <t xml:space="preserve">Transport charges </t>
  </si>
  <si>
    <t>Total cost of Sub-station (Including Civil works)</t>
  </si>
  <si>
    <t>Grand Total cost of S/s.</t>
  </si>
  <si>
    <t>Grand Total (Rounded off)</t>
  </si>
  <si>
    <t>(1)</t>
  </si>
  <si>
    <t>(2)</t>
  </si>
  <si>
    <t>(3)</t>
  </si>
  <si>
    <t>The cost of  land is not taken in to account since normally CSPDCL acquires Govt. land at negligible cost. How ever needs to be procure other than Govt. land then should be added actual cost.</t>
  </si>
  <si>
    <t>Distribution Board with MCB</t>
  </si>
  <si>
    <t>Pair</t>
  </si>
  <si>
    <t xml:space="preserve">(ii) MS flat 50x6 mm size </t>
  </si>
  <si>
    <t xml:space="preserve">Rate </t>
  </si>
  <si>
    <t>Amount</t>
  </si>
  <si>
    <t>Kg.</t>
  </si>
  <si>
    <t>No,</t>
  </si>
  <si>
    <t>Set</t>
  </si>
  <si>
    <t>No.</t>
  </si>
  <si>
    <t>Earthing Set (Coil Earth as per Drg. No. G/007)</t>
  </si>
  <si>
    <t>Mtr.</t>
  </si>
  <si>
    <t xml:space="preserve">Stay Set 20 mm Complete  </t>
  </si>
  <si>
    <t xml:space="preserve">Set. </t>
  </si>
  <si>
    <t xml:space="preserve">Cmt. </t>
  </si>
  <si>
    <t xml:space="preserve">Cement </t>
  </si>
  <si>
    <t>Ltr.</t>
  </si>
  <si>
    <t xml:space="preserve">MS Nut &amp; Bolts </t>
  </si>
  <si>
    <t xml:space="preserve"> </t>
  </si>
  <si>
    <t>16x40 mm</t>
  </si>
  <si>
    <t xml:space="preserve">16x65 mm </t>
  </si>
  <si>
    <t xml:space="preserve">16x90 mm </t>
  </si>
  <si>
    <t xml:space="preserve">16x140 mm </t>
  </si>
  <si>
    <t xml:space="preserve">16x160 mm </t>
  </si>
  <si>
    <t xml:space="preserve">16x200 mm </t>
  </si>
  <si>
    <t xml:space="preserve">16x250 mm </t>
  </si>
  <si>
    <t xml:space="preserve">MS Angle 65x65x6 for Tie </t>
  </si>
  <si>
    <t>LS</t>
  </si>
  <si>
    <t>(vi) Stay Set 20 mm Complete</t>
  </si>
  <si>
    <t>Km</t>
  </si>
  <si>
    <t>Cost per Km for Non- guaranteed Works</t>
  </si>
  <si>
    <t xml:space="preserve">Strain Plate </t>
  </si>
  <si>
    <t>Cost per DP for Non- guaranteed Works</t>
  </si>
  <si>
    <t>"H" Beam 152x152mm 37.1 Kg/Mtr 13.0 Mtr</t>
  </si>
  <si>
    <t>i</t>
  </si>
  <si>
    <t>600 mm</t>
  </si>
  <si>
    <t>900 mm</t>
  </si>
  <si>
    <t>GI bend 200 mm</t>
  </si>
  <si>
    <t>Sundries</t>
  </si>
  <si>
    <t>Transportation Charges</t>
  </si>
  <si>
    <t>Cost per 50 Mtr for non guaranteed works</t>
  </si>
  <si>
    <t>Labour Charges as per Schedule AL-5</t>
  </si>
  <si>
    <t>S No</t>
  </si>
  <si>
    <t>PARTICULARS</t>
  </si>
  <si>
    <t>Unit</t>
  </si>
  <si>
    <t>280 Kg; 9.1 Mtr long PCC Pole</t>
  </si>
  <si>
    <t>Qnty</t>
  </si>
  <si>
    <t>No</t>
  </si>
  <si>
    <t>Earthing Set (Coil earth as per Drg. No. g/007)</t>
  </si>
  <si>
    <t>Raccoon ACSR Conductor (80 Sqmm, Al. Eq) with 3% sag</t>
  </si>
  <si>
    <t>--</t>
  </si>
  <si>
    <t>Cmt</t>
  </si>
  <si>
    <t xml:space="preserve">Red Oxide Paint </t>
  </si>
  <si>
    <t>Ltr</t>
  </si>
  <si>
    <t xml:space="preserve">Aluminium Paint </t>
  </si>
  <si>
    <t xml:space="preserve">Danger Boards </t>
  </si>
  <si>
    <t>Kg</t>
  </si>
  <si>
    <t>M.S. Nuts and Bolts</t>
  </si>
  <si>
    <t>ii</t>
  </si>
  <si>
    <t>Labour charges as per Schedule No.- AL-1</t>
  </si>
  <si>
    <t xml:space="preserve">Transport charges upto 50 Kms average lead form area stores to construction camp including site Transport (Trans. Schedule T-1) </t>
  </si>
  <si>
    <t>Note:</t>
  </si>
  <si>
    <t>All the rates are with considering price variation clause.</t>
  </si>
  <si>
    <t>MS Nuts and bolts 16x200 mm</t>
  </si>
  <si>
    <t>MS Nuts and bolts 16x250 mm</t>
  </si>
  <si>
    <t>SUB TOTAL-A (1+2+3)</t>
  </si>
  <si>
    <t>(i) Services on Earthing</t>
  </si>
  <si>
    <t>(ii) Services on Painting</t>
  </si>
  <si>
    <t>Services on Concreting of structure @ 0.45 cmt/bus structure</t>
  </si>
  <si>
    <t>Services on  X'mer foundation [2.5(L)*2(W)*3(H)]</t>
  </si>
  <si>
    <t>Services on  foundation of 11 kV VCB [2(L)*2(W)*1.5(H)]</t>
  </si>
  <si>
    <t>Services on foundation of 33 kV VCB [2(L)*2(W)*1.75(H)]</t>
  </si>
  <si>
    <t xml:space="preserve">Services on Cable trench for addl. two VCB &amp; X-mer </t>
  </si>
  <si>
    <t>Static 5.0-30 Amps Pilfer proof with transparent poly carbonate meter box.</t>
  </si>
  <si>
    <t>Cost of erection of 1 No. of H-Beam Pole for 33 kV Line</t>
  </si>
  <si>
    <t>152x152 mm 37.1 Kg/Mtr 13 M (482.30 Kg) H-Beam</t>
  </si>
  <si>
    <t>9646</t>
  </si>
  <si>
    <t xml:space="preserve">  70 Sqmm.</t>
  </si>
  <si>
    <t>120 Sq.mm.</t>
  </si>
  <si>
    <t xml:space="preserve">400 Sqmm. </t>
  </si>
  <si>
    <t>3x95 Sq.mm.</t>
  </si>
  <si>
    <t>3x150 Sq.mm.</t>
  </si>
  <si>
    <t>3x185 Sq.mm.</t>
  </si>
  <si>
    <t>3x240 Sq.mm.</t>
  </si>
  <si>
    <t>33 kV AB Cable Straight thru' joint kit suitable for 35-70 sqmm</t>
  </si>
  <si>
    <t>33 kV AB Cable Straight thru' joint kit suitable for 95-120 sqmm</t>
  </si>
  <si>
    <t>33 kV ABC Termination kit 35-70 sqmm</t>
  </si>
  <si>
    <t>33 kV ABC Termination kit 95-120 sqmm</t>
  </si>
  <si>
    <t>11 kV OUT DOOR YARD EXTENSION FOR ADDL. BAY WITH CIRCUIT BREAKER</t>
  </si>
  <si>
    <t>1.6 MVA &amp; Above</t>
  </si>
  <si>
    <t xml:space="preserve"> H-Beam 152x152 mm 37.1 kg/mtr 8 Mtr i.e. 296.8 kg/pole x 2 No = 593.6 Kgs                         </t>
  </si>
  <si>
    <t xml:space="preserve">11 Mtr long 152 x 152 mm H-Beam (37.1 Kg/ Mtr weight) i.e. 37.1 x 11 mtr = 408.1 kg/pole x 2 Nos = 816.2 Kgs. </t>
  </si>
  <si>
    <t>Old Bin Code-7130601958</t>
  </si>
  <si>
    <t>MS DC Cross arm (100x50 mm), 5.2 Mtr long for bus bar</t>
  </si>
  <si>
    <t>MS DC Cross arm (100x50 mm), 8' centre for bus bar</t>
  </si>
  <si>
    <r>
      <t xml:space="preserve">33 kV Termination Kit for 3x240 sqmm AB XLPE Cable  </t>
    </r>
    <r>
      <rPr>
        <sz val="14"/>
        <rFont val="Arial"/>
        <family val="2"/>
      </rPr>
      <t>*</t>
    </r>
  </si>
  <si>
    <t>3x185 sq.mm 33 kV AB XLPE Cable</t>
  </si>
  <si>
    <t>3x240 sq.mm 33 kV AB XLPE Cable</t>
  </si>
  <si>
    <t>Cable marker for U/G cable</t>
  </si>
  <si>
    <t>End terminating jointing kit  for 240 sqmm XLPE cable</t>
  </si>
  <si>
    <t xml:space="preserve">Note --   Appropriate size of termination kit and 33 kV AB XLPE Cable may be used for S.No 04 and 05 acccording to the load of HT connection. </t>
  </si>
  <si>
    <t>60 Kg/Mtr 13.0 Mtr long Rails (780 Kg each) x 10 No = 7800 Kgs</t>
  </si>
  <si>
    <t>1</t>
  </si>
  <si>
    <t>2</t>
  </si>
  <si>
    <t>3</t>
  </si>
  <si>
    <t>6</t>
  </si>
  <si>
    <t>D.C.cross- arm of 100 X  50 X 6 mm. ISMC channel suitable for 5' centre DP</t>
  </si>
  <si>
    <t>Cmt.  (1:3:6)</t>
  </si>
  <si>
    <t>Red oxide paint</t>
  </si>
  <si>
    <t>Aluminium paint</t>
  </si>
  <si>
    <t>M.S.Nuts and Bolts</t>
  </si>
  <si>
    <t>Cost per D.P.</t>
  </si>
  <si>
    <t>PCC Pole 280 kg 9.1 Mtr. Long</t>
  </si>
  <si>
    <t>280 Kg.,9.1 Mtrs. long PCC Poles</t>
  </si>
  <si>
    <t xml:space="preserve">DC cross arm 3.8 Mtr. Channel of 100x50 mm  </t>
  </si>
  <si>
    <t xml:space="preserve">33 kV AB Switch </t>
  </si>
  <si>
    <t>Each</t>
  </si>
  <si>
    <t>Last span cabling of 33 kV line using Covered  Conductor of size</t>
  </si>
  <si>
    <t xml:space="preserve">70 sq.mm (207 Amp) </t>
  </si>
  <si>
    <t>99 sq.mm (258 Amp)</t>
  </si>
  <si>
    <t>A-9 (i)</t>
  </si>
  <si>
    <t>A-9 (ii)</t>
  </si>
  <si>
    <t>11/0.4 kV Out-door type Transformer Sub-station using 3.5 Core PVC cable.</t>
  </si>
  <si>
    <t>200 kVA on 175 x 85 mm, 9.0 Mtr long reinforced R.S. Joist.</t>
  </si>
  <si>
    <t>11/0.4 kV Out-door type Transformer sub-station using 1 Core PVC cable.</t>
  </si>
  <si>
    <t>200 kVA on  H-Beam 152x152 mm, 37.1 Kg/Mtr, 11 mtr long</t>
  </si>
  <si>
    <t>C-7(B-1)(IV)</t>
  </si>
  <si>
    <t>(B-1) A</t>
  </si>
  <si>
    <t>Relocation of 11/0.4 kV Out-door type Transformer Sub-station using H-Beam Pole and 3.5 Core PVC Cable [Based on Cost Schedule C-7 (B-1) except X-mer Cost]</t>
  </si>
  <si>
    <t>C-7(B-1) A (I)</t>
  </si>
  <si>
    <t>63 kVA on  H-Beam 152x152 mm, 37.1 Kg/Mtr, 11 mtr long</t>
  </si>
  <si>
    <t>C-7(B-1) A (II)</t>
  </si>
  <si>
    <t>ITEMS REMOVED  FROM SoR 2015-16</t>
  </si>
  <si>
    <t>33 kV Polymeric Pin insulator with Pin</t>
  </si>
  <si>
    <t>(iv) Stay Clamp for Rail Pole A Type</t>
  </si>
  <si>
    <t>(v) Stay Clamp for Rail Pole B Type</t>
  </si>
  <si>
    <t>(vi) Stay Wire 7/8 SWG @ 8.5 kg/  stay</t>
  </si>
  <si>
    <t>Concreting of supports @ 0.6 Cmt. Per pole for Rail / H-Beam and @ 0.3 Cmt per stay and @ 0.05 Cmt per pole for base padding for PCC / Rail / H-Beam pole.</t>
  </si>
  <si>
    <t>NEW COLUMN ADDED</t>
  </si>
  <si>
    <t>2015-16</t>
  </si>
  <si>
    <t>60 Kg/Mtr 13.0 Mtr long Rails (780 Kg each) x 4 No = 3120 Kgs</t>
  </si>
  <si>
    <t>33 kV Polymer Disc Insulator</t>
  </si>
  <si>
    <t>Earlier- 33 kV Disc Insulator</t>
  </si>
  <si>
    <t>(v) Stay Clamp for Rail Pole A Type</t>
  </si>
  <si>
    <t>2.6 cmt for Rail &amp; H-Beam, 2.2 cmt for PCC Pole &amp; 2.4 cmt for stay</t>
  </si>
  <si>
    <t>Cement @ 208 Kg/cmt for Rail</t>
  </si>
  <si>
    <t>Cement @ 208 Kg/cmt for PCC</t>
  </si>
  <si>
    <t>Cement @ 208 Kg/cmt for H-Beam</t>
  </si>
  <si>
    <t>M.S.Flat (50x6) mm</t>
  </si>
  <si>
    <t>4.6/5/5</t>
  </si>
  <si>
    <t xml:space="preserve">Way leave charges payable to Railway including supervision </t>
  </si>
  <si>
    <t>COST SCHEDULE   A-2 (A)</t>
  </si>
  <si>
    <t>COST SCHEDULE   A-2 (B)</t>
  </si>
  <si>
    <t>Cost per D.P. (Rounded Off)</t>
  </si>
  <si>
    <t>Service in lieu of Earthing Coal &amp; Sand etc **</t>
  </si>
  <si>
    <t>**</t>
  </si>
  <si>
    <t>4 Nos earthing is for cable &amp; 6 Nos. earthing is for 2 DP's</t>
  </si>
  <si>
    <t>Dead end Assembly (Suitable for all size cable)</t>
  </si>
  <si>
    <t xml:space="preserve">GI earthing pipe of 40 mm dia 3.04 mtr long, 4 mm thickness 12 mm hole at 18 places at equal distance trapered casing at lower end . </t>
  </si>
  <si>
    <t>1 KM OF 33 kV LINE ON PCC POLES / H-BEAMS WITH MAXIMUM SPAN OF 100 METERS USING RACCOON CONDUCTOR</t>
  </si>
  <si>
    <t>Porcelain Kit-kat fuse unit 16 Amps.</t>
  </si>
  <si>
    <t>Porcelain Kit-kat fuse unit 100 Amps.</t>
  </si>
  <si>
    <t>Porcelain Kit-kat fuse unit 200 Amps.</t>
  </si>
  <si>
    <t>Porcelain Kit-kat fuse unit 300 Amps.</t>
  </si>
  <si>
    <t>TPN Switches 32 Amps.</t>
  </si>
  <si>
    <t>TPN Switches 63 Amps.</t>
  </si>
  <si>
    <t>TPN Switches 100 Amps.</t>
  </si>
  <si>
    <t>TPN Switches 200 Amps.</t>
  </si>
  <si>
    <t>TPN Switches 300 Amps.</t>
  </si>
  <si>
    <t>TPN Switches 400 Amps.</t>
  </si>
  <si>
    <t>11 kV Porcelain A.B. Switch</t>
  </si>
  <si>
    <t>33 kV Porcelain A.B. Switch</t>
  </si>
  <si>
    <t>11 kV Porcelain D.O. Fuse unit</t>
  </si>
  <si>
    <t>33 kV Porcelain D.O. Fuse unit</t>
  </si>
  <si>
    <t>MCCB 100 Amps. (10 kA TP)</t>
  </si>
  <si>
    <t>MCCB 300 Amps. (35 kA TP)</t>
  </si>
  <si>
    <t>MCCB 450 TO 500 Amps. (35 kA TP)</t>
  </si>
  <si>
    <t>BOLT WITH NUT M S 12X100 MM</t>
  </si>
  <si>
    <t>M S NUTS AND BOLTS: - 12x120mm</t>
  </si>
  <si>
    <t>M S NUTS AND BOLTS: - 12x140mm</t>
  </si>
  <si>
    <t>M S NUTS AND BOLTS: - 16x40mm</t>
  </si>
  <si>
    <t>M S NUTS AND BOLTS: - 16x65mm</t>
  </si>
  <si>
    <t>M S NUTS AND BOLTS: - 16x90mm</t>
  </si>
  <si>
    <t>M S NUTS AND BOLTS: - 16x100mm</t>
  </si>
  <si>
    <t>M S NUTS AND BOLTS: - 16x140mm</t>
  </si>
  <si>
    <t>M S NUTS AND BOLTS: - 16x160mm</t>
  </si>
  <si>
    <t>M S NUTS AND BOLTS - 16x200mm</t>
  </si>
  <si>
    <t>M S NUTS AND BOLTS: - 16x300mm</t>
  </si>
  <si>
    <t>M S NUTS AND BOLTS: - 16x250mm</t>
  </si>
  <si>
    <t>M S NUTS AND BOLTS: - 20x75mm</t>
  </si>
  <si>
    <t>M S NUTS AND BOLTS: - 20x90mm</t>
  </si>
  <si>
    <t>M S NUTS AND BOLTS: - 20x110mm</t>
  </si>
  <si>
    <t>M S NUTS AND BOLTS: - 24x120mm</t>
  </si>
  <si>
    <t>Foundation bolt 25x1200 mm</t>
  </si>
  <si>
    <t>WASHER SPRING 25MM HOLE DIA</t>
  </si>
  <si>
    <t>G.I. PIPE 200MM FOR 400MM CABLE OF DIA 1</t>
  </si>
  <si>
    <t>G.I.BEND 200MM</t>
  </si>
  <si>
    <t>CAPING OF HDPE PIPE ON BOTH END OF PIPE</t>
  </si>
  <si>
    <t>900 MM RCC PIPE TYPE NP-2(2.5MTR LONG)</t>
  </si>
  <si>
    <t>M.S. PIPE 200MM DIA WITH COLLARS</t>
  </si>
  <si>
    <t>PIPE GI 40 MM MEDIUM QUALITY</t>
  </si>
  <si>
    <t>G.I. EARTHING PIPE 40 MM</t>
  </si>
  <si>
    <t>G.I.EARTHING PIPE/ROD SIZE 2500x25 mm</t>
  </si>
  <si>
    <t>ANCHOR CLAMP/ DEAD END CLAMP</t>
  </si>
  <si>
    <t>SUSPENSION CLAMP</t>
  </si>
  <si>
    <t>PCC POLE 140 KG; 8,0 MTR LONG</t>
  </si>
  <si>
    <t>PCC POLE 280 KG; 9,1 MTR LONG</t>
  </si>
  <si>
    <t>POLE-STEEL TUBULAR 100X125X150MM 10.9 MT</t>
  </si>
  <si>
    <t>PCC POLE 350 KG; 7,0 MTR LONG</t>
  </si>
  <si>
    <t>Through Bolt 12 mm</t>
  </si>
  <si>
    <t>D.C. Cross arm 3.8 Mtr 100 x 50 mm.</t>
  </si>
  <si>
    <t>Stay clamp LT/Pair</t>
  </si>
  <si>
    <t>LT U CLAMP</t>
  </si>
  <si>
    <t>POLE CLAMP</t>
  </si>
  <si>
    <t>Service ring made of 16 mm</t>
  </si>
  <si>
    <t>HT STAY CLAMP PCC POLE 280 KG A TYPE</t>
  </si>
  <si>
    <t>HT STAY CLAMP RAIL POLE A TYPE</t>
  </si>
  <si>
    <t>HT STAY CLAMP R S JOIST A TYPE</t>
  </si>
  <si>
    <t>HT STAY CLAMP RAIL POLE B TYPE</t>
  </si>
  <si>
    <t>33 KV TOP CLAMP SEMIFINISHED</t>
  </si>
  <si>
    <t>LT THREE PIN CROSS ARM</t>
  </si>
  <si>
    <t>713081LT 4-Pin cross arms 50 x 50 x 6 mm</t>
  </si>
  <si>
    <t>LT FIVE PIN CROSS ARM</t>
  </si>
  <si>
    <t>11 KV V CROSS ARM</t>
  </si>
  <si>
    <t>D.O. / LA Mounting channel 75x40 mm.</t>
  </si>
  <si>
    <t>1.1 MTR DPDC CROSS ARM</t>
  </si>
  <si>
    <t>11KV 4 FEET CENTRE DC CROSS ARM</t>
  </si>
  <si>
    <t>11KV 3 PHASE AERIAL BUNCHED XLPE CABLE 3</t>
  </si>
  <si>
    <t>11KV AB XLPE CABLE STRAIGHT THRU JOINT K</t>
  </si>
  <si>
    <t>LT 1PH 3 WIRE AERIAL BUNCHED CABLE OF SI</t>
  </si>
  <si>
    <t>1.1KV LT  AB CABLE 3X50+1X16+1X35 SQMM</t>
  </si>
  <si>
    <t>LT 3PH 5 WIRE AERIAL BUNCHED CABLE OF SI</t>
  </si>
  <si>
    <t>LT AB CABLEB 3X16+1X25 SQMM</t>
  </si>
  <si>
    <t>LT AB CABLEB 3X25+1X25 SQMM</t>
  </si>
  <si>
    <t>33KV 3 CORE XLPE UG CABLE 3X 240SQMM</t>
  </si>
  <si>
    <t>11KV 3 CORE XLPE UG CABLE 95 SQMM</t>
  </si>
  <si>
    <t>11KV 3 CORE XLPE UG CABLE 120 SQMM</t>
  </si>
  <si>
    <t>11KV 3 CORE XLPE UG CABLE 240 SQMM</t>
  </si>
  <si>
    <t>11KV 3 CORE XLPE UG CABLE 400 SQMM</t>
  </si>
  <si>
    <t>CONTROL CABLE COP 2CORE 2.5SQMM PVC/PVC</t>
  </si>
  <si>
    <t>CONTROL CABLE COP 4CORE 2.5SQMM PVC/PVC</t>
  </si>
  <si>
    <t>CONTROL CABLE COP 8 CORE 2.5 SQ MM PVC/P</t>
  </si>
  <si>
    <t>Earlier- 11 kV Disc Insulator</t>
  </si>
  <si>
    <t>Per Km</t>
  </si>
  <si>
    <t>A-1(ii)</t>
  </si>
  <si>
    <t xml:space="preserve">On H-Beam 152 x 152 mm 37.1 Kg/ Mtr 13 Mtr long </t>
  </si>
  <si>
    <t>A-1(iii)</t>
  </si>
  <si>
    <t>(B)</t>
  </si>
  <si>
    <t>A-2 (A)</t>
  </si>
  <si>
    <t>PCC Pole</t>
  </si>
  <si>
    <t>A-2 (A) (i)</t>
  </si>
  <si>
    <t>H-Beam Pole</t>
  </si>
  <si>
    <t>A-2 (A) (ii)</t>
  </si>
  <si>
    <t>(C)</t>
  </si>
  <si>
    <t>280 Kg 9.1 Mtrs long PCC poles</t>
  </si>
  <si>
    <t>A-2 (B)(i)</t>
  </si>
  <si>
    <t>A-2 (B)(ii)</t>
  </si>
  <si>
    <t>37.1 Kg /Mtrs 13 Mtrs long H-Beam supports</t>
  </si>
  <si>
    <t>A-2 (B)(iii)</t>
  </si>
  <si>
    <t>(D)</t>
  </si>
  <si>
    <t>GI earthing pipe of 40 mm dia 3.04 mtr long with 12 mm hole at 18 places at equal distance trapered casing at lower end .</t>
  </si>
  <si>
    <t>Single phase AB switch complete.</t>
  </si>
  <si>
    <t>Not Procured</t>
  </si>
  <si>
    <t>11 kV ABC-T Jointing kit 35-70 sqmm</t>
  </si>
  <si>
    <t>11 kV ABC-T Jointing kit 95-120 sqmm</t>
  </si>
  <si>
    <t>Section Suspension Assembly (Suitable for all size cable)</t>
  </si>
  <si>
    <t>LT 1 phase 3 Wire Aerial Bunched Cable of Size 1X35+1X16+1x25</t>
  </si>
  <si>
    <t>INSULATING PIERCING CONNECTOR FOR ABC TO</t>
  </si>
  <si>
    <t>UDC- UNIVERSAL DISTRIBUTION CONNECTOR</t>
  </si>
  <si>
    <t>STRAIGHT THROUGH JOINT</t>
  </si>
  <si>
    <t>END CLAMP CAP FOR 50/70 SQMM</t>
  </si>
  <si>
    <t>M S ANGLE 50X50X5 MM</t>
  </si>
  <si>
    <t>M S ANGLE 65X65X6 MM</t>
  </si>
  <si>
    <t>M S ANGLE 75X75X6 MM</t>
  </si>
  <si>
    <t>Jointing kit 11KV ABC Cabl 3x25+1x35sqmm</t>
  </si>
  <si>
    <t>M S CHANNEL 75X40 MM CP</t>
  </si>
  <si>
    <t>M.S.FLATE 50X6 MM CP</t>
  </si>
  <si>
    <t>Transport Charges up to 50 km. average lead from area Stores to Construction Camp including Side Transport (Transport Schedule T-1)</t>
  </si>
  <si>
    <t>"H" Beam 152x152 mm 37.1 Kg/Mtr 13.0 Mtr</t>
  </si>
  <si>
    <t xml:space="preserve">33 kV Suspension Hardware suitable for Panther Conductor (3x20=60)     </t>
  </si>
  <si>
    <t>*</t>
  </si>
  <si>
    <t>RM</t>
  </si>
  <si>
    <t>RCC pipe Type NP - 3 (2.5 mtr long)</t>
  </si>
  <si>
    <t>Strain Plate (65x8 mm) for 33 kV</t>
  </si>
  <si>
    <t xml:space="preserve">Back Clamp for Cross Arm </t>
  </si>
  <si>
    <t xml:space="preserve">Fire fighting equipments (dry chemical powder type 5 Kg capacity) </t>
  </si>
  <si>
    <t>COMPARATIVE STATEMENT OF RATES FROM YEAR  2014-15 to 2015-16</t>
  </si>
  <si>
    <t xml:space="preserve">TOTAL COST </t>
  </si>
  <si>
    <t xml:space="preserve">On 365 Kg 11 Mtrs long PCC poles </t>
  </si>
  <si>
    <t>Additional (Mid Span) Pole for 33 kV Line</t>
  </si>
  <si>
    <t>A-3 (B)(i)</t>
  </si>
  <si>
    <t>A-4 (i)</t>
  </si>
  <si>
    <t>Using H-Beam 152x152 mm, 37.1Kg/mtr 13 Mtrs long supports.</t>
  </si>
  <si>
    <t xml:space="preserve">11 kV Line on A.B.Cable </t>
  </si>
  <si>
    <t>Using H-Beam 152x152 mm, 37.1Kg/mtr 11 Mtrs long supports.</t>
  </si>
  <si>
    <t>With 11 kV  3 phase Aerial Bunched Cable 3x35+35 sqmm</t>
  </si>
  <si>
    <t>With 11 kV  3 phase Aerial Bunched Cable 3x70+70 sqmm</t>
  </si>
  <si>
    <t>C-3 (B)[i]</t>
  </si>
  <si>
    <t>C-3 (B)[ii]</t>
  </si>
  <si>
    <t>Using 200 Kg; 9.0 Mtr long PCC Pole</t>
  </si>
  <si>
    <t>C-3 (B)[iii]</t>
  </si>
  <si>
    <t>C-3 (B)[iv]</t>
  </si>
  <si>
    <t>25 kVA on 140 Kg, 8.0 Mtr long PCC pole</t>
  </si>
  <si>
    <t>63 kVA on 140 Kg, 8.0 Mtr long PCC pole</t>
  </si>
  <si>
    <r>
      <t xml:space="preserve"> In case of non-availability of H-Beam for structure double welded RS Joist may be used (1) 8 meter long double welded RS Joist and cost of it shall be taken in place of cost of item No.3 (i) unit rate as Rs 10640.00 &amp; quantity should be 10 Nos for 3.15 &amp; 1.6 MVA and 12 Nos for 5 MVA (2) 7 meter long double welded RS Joist and cost of it shall be taken as in place of cost of item No.3 (ii) unit rate as Rs</t>
    </r>
    <r>
      <rPr>
        <sz val="14"/>
        <rFont val="Rupee"/>
        <family val="0"/>
      </rPr>
      <t xml:space="preserve"> </t>
    </r>
    <r>
      <rPr>
        <sz val="12"/>
        <rFont val="Arial"/>
        <family val="2"/>
      </rPr>
      <t>9372.00 &amp; quantity should be 04 Nos each for 3.15 &amp; 1.6 MVA and 5 MVA</t>
    </r>
  </si>
  <si>
    <t>Total Cost (Rs In lakhs)</t>
  </si>
  <si>
    <t>Grand Total cost (Rs in LAKHS)</t>
  </si>
  <si>
    <t xml:space="preserve">280 Kg; 9.1 Mtr long PCC Pole </t>
  </si>
  <si>
    <t>Mtr</t>
  </si>
  <si>
    <t>kg</t>
  </si>
  <si>
    <t>Stay set 20 mm</t>
  </si>
  <si>
    <t xml:space="preserve"> Guarding</t>
  </si>
  <si>
    <t>This Schedule is to be supplemented with Schedule A-1 &amp; A-3.</t>
  </si>
  <si>
    <t xml:space="preserve">Horizontal &amp; cross bracing 5' centre with set of 4 back clamps </t>
  </si>
  <si>
    <t>DOG ACSR Conductor (100 Sqmm, Al. Eq) with 3% sag</t>
  </si>
  <si>
    <t>Qty</t>
  </si>
  <si>
    <t xml:space="preserve">Kg </t>
  </si>
  <si>
    <t xml:space="preserve">New SAP Bin Code </t>
  </si>
  <si>
    <t>Labour charges as per Schedule No.- AL-3</t>
  </si>
  <si>
    <t>(iv) M.S Nut &amp; Bolt 16x250 mm.</t>
  </si>
  <si>
    <t>Service in lieu of concreting metal &amp; sand only</t>
  </si>
  <si>
    <t xml:space="preserve">Cross Arm Clamp </t>
  </si>
  <si>
    <t>Service Ring</t>
  </si>
  <si>
    <t xml:space="preserve">Straight through joints </t>
  </si>
  <si>
    <t>End cap for 50/70 Sq.mm</t>
  </si>
  <si>
    <t>SHACKEL INSULATORS 90 x 75 mm.</t>
  </si>
  <si>
    <t>Stay insulators.</t>
  </si>
  <si>
    <t>GI Pin for 11 KV Pin insulator</t>
  </si>
  <si>
    <t>GI Pin for 33 KV Pin insulator</t>
  </si>
  <si>
    <t>Aluminium Bobbin.</t>
  </si>
  <si>
    <t>7H.W. 50X65MM LT SHACKLE INSULATOR CMPLT</t>
  </si>
  <si>
    <t>OIL IMM 3 PH CTPT UNITS 33 KV - 30/5A</t>
  </si>
  <si>
    <t>OIL IMM 3 PH CTPT UNITS 33 KV - 50/5 A</t>
  </si>
  <si>
    <t>OIL IMM 3 PH CTPT UNITS 33 KV-100&amp;200/5A</t>
  </si>
  <si>
    <t xml:space="preserve">(iv) 365 Kg; 11 Mtr long PCC Pole </t>
  </si>
  <si>
    <t>Incidental Charges @ 9 % : -</t>
  </si>
  <si>
    <t xml:space="preserve">Total Cost (Rounded off ) </t>
  </si>
  <si>
    <t>19</t>
  </si>
  <si>
    <t>3x400 sq.mm AB XLPE Cable</t>
  </si>
  <si>
    <t>33 kV XLPE 400 sqmm 3 core UG Cable</t>
  </si>
  <si>
    <t>End terminating jointing kit for 400 sqmm XLPE cable</t>
  </si>
  <si>
    <t>Labour charges as per Schedule No.- AL-3 (B) (Revised for one Pole)</t>
  </si>
  <si>
    <r>
      <t xml:space="preserve">SCHEDULE FOR 33 kV UNDERGROUND CABLE CROSSING UNDER RAILWAY TRACK FOR </t>
    </r>
    <r>
      <rPr>
        <b/>
        <u val="single"/>
        <sz val="12"/>
        <color indexed="10"/>
        <rFont val="Arial"/>
        <family val="2"/>
      </rPr>
      <t>60</t>
    </r>
    <r>
      <rPr>
        <b/>
        <u val="single"/>
        <sz val="12"/>
        <rFont val="Arial"/>
        <family val="2"/>
      </rPr>
      <t xml:space="preserve"> MTR. LENGTH, UNDER 2.5 MTR. DEEP FROM GROUND LEVEL SINGLE FEEDER LINE.</t>
    </r>
  </si>
  <si>
    <r>
      <t xml:space="preserve">GI earthing pipe of 40 mm dia 3.04 mtr long, 4 mm thickness 12 mm hole at 18 places at equal distance trapered casing at lower end. </t>
    </r>
    <r>
      <rPr>
        <sz val="14"/>
        <rFont val="Arial"/>
        <family val="2"/>
      </rPr>
      <t>*</t>
    </r>
  </si>
  <si>
    <t>2014-15</t>
  </si>
  <si>
    <t xml:space="preserve">Suspension clamp assembly (consisting of GI Pole Clamp, GI Flat type I-hook &amp; Nylon Cable tie). </t>
  </si>
  <si>
    <t>11KV D.O.FUSE ELEMENT (1.5 AMP TO 10 AMP</t>
  </si>
  <si>
    <t>HRC FUSE 250 AMPS</t>
  </si>
  <si>
    <t>HRC FUSE 400 AMPS</t>
  </si>
  <si>
    <t>FUSE ELEMENT 25 AMPS FOR 33 KV DO</t>
  </si>
  <si>
    <t>FUSE ELEMENT 50 AMPS FOR 33 KV DO</t>
  </si>
  <si>
    <t>H.R.C. FUSE UNITS: -100 Amps.</t>
  </si>
  <si>
    <t>TRANSFORMER 11/.4KV 10 KVA 1 PHASE</t>
  </si>
  <si>
    <t>TRANSFORMER 11/.4KV 16 KVA 3 PHASE COPPE</t>
  </si>
  <si>
    <t>Single Ph transfor with protection 16KVA</t>
  </si>
  <si>
    <t>TRANSFORMER 11/.4KV 25 KVA 3 STAR RATING</t>
  </si>
  <si>
    <t>TRANSFORMER 11/.4 KV 25 KVA</t>
  </si>
  <si>
    <t>TRANSFORMER 11/.4KV 63 KVA 3 STAR RATING</t>
  </si>
  <si>
    <t>TRANSFORMER 11/.4KV 100 KVA 3 STAR RATIN</t>
  </si>
  <si>
    <t>TRANSFORMER 11/.4KV 200 KVA 3 STAR RATIN</t>
  </si>
  <si>
    <t>TRANSFORMER 11/0.4 KV 200 KVA</t>
  </si>
  <si>
    <t>TRANSFORMER 11/0.4 KV 315 KVA</t>
  </si>
  <si>
    <t>TRANSFORMER 11/0.4 KV 500 KVA</t>
  </si>
  <si>
    <t>TRANSFORMER 33/.4KV 50KVA</t>
  </si>
  <si>
    <t>TRANSFORMER 33/0.4 KV 200 KVA</t>
  </si>
  <si>
    <t>TRANSFORMER 33/0.4 KV 300 KVA</t>
  </si>
  <si>
    <t>TRANSFORMER 33/11KV 1.6 MVA POWER</t>
  </si>
  <si>
    <t>TRANSFORMER 33/11KV 3.15 MVA POWER</t>
  </si>
  <si>
    <t>TRANSFORMER 33/11KV 5 MVA POWER</t>
  </si>
  <si>
    <t>INDOOR TYPE 33KV CT:PT UNIT 100/5A</t>
  </si>
  <si>
    <t>L.T. C.T.100/5 Amps.</t>
  </si>
  <si>
    <t>INDOOR TYPE 33KV CT:PT UNIT 50/5A</t>
  </si>
  <si>
    <t>L.T. C.T.200/5 Amps.</t>
  </si>
  <si>
    <t>L.T. C.T.300/5 Amps.</t>
  </si>
  <si>
    <t>L.T. C.T.500/5 Amps.</t>
  </si>
  <si>
    <t>220 KV CT 800-400/1-1-1-1-1AMP.</t>
  </si>
  <si>
    <t>33KV CT 400-200/5-5A</t>
  </si>
  <si>
    <t>CURRENT TRANSFORMER 600-300/1/1-1A,132KV</t>
  </si>
  <si>
    <t>132 KV CT 150-75/1</t>
  </si>
  <si>
    <t>220 KV CT 150-75/1</t>
  </si>
  <si>
    <t>220 KV CT 300-150/1</t>
  </si>
  <si>
    <t>220 KV CT 600-300/1</t>
  </si>
  <si>
    <t>33KV OIL IMMERSED 3 PHASE 300-150/5A CT-</t>
  </si>
  <si>
    <t>11 KV C.T's (OUT DOOR TYPE)200-100/5 A</t>
  </si>
  <si>
    <t>11 KV C.T's (OUT DOOR TYPE)300-150/5 A</t>
  </si>
  <si>
    <t>33KV CT's(300-150/5)A oil filled OD Type</t>
  </si>
  <si>
    <t>33KV CT's(200-100/5)A oil filled OD Type</t>
  </si>
  <si>
    <t>(a) 33 kV side with 3 disc insulator per phase.</t>
  </si>
  <si>
    <t>(ii) 33 kV Strain Hardware</t>
  </si>
  <si>
    <t>(b) 11 kV side with 2 disc insulator  per phase.</t>
  </si>
  <si>
    <t>(ii) Strain plate 8 mm thick</t>
  </si>
  <si>
    <t>(xi)</t>
  </si>
  <si>
    <t>OTHER MISCELLANEOUS ITEMS</t>
  </si>
  <si>
    <t>Cement for Concreting of structure @ 0.45 Cmt. per bus structure (1:3:6) = 7.2 Cmt for 16 Nos structure.</t>
  </si>
  <si>
    <t>Strain set with hardware suitable for 100 Sqmm ACSR conductor for 11kV bus.</t>
  </si>
  <si>
    <t>Hardware suitable for 100 Sqmm ACSR Dog conductor for 11 kV bus.</t>
  </si>
  <si>
    <t>11 kV G.I. Pin</t>
  </si>
  <si>
    <t>11 kV Isolator (600 A.)</t>
  </si>
  <si>
    <t xml:space="preserve">   Concreting of structure (1:3:6)</t>
  </si>
  <si>
    <t xml:space="preserve">ACSR 100 Sqmm Al. Eq. Dog Conductor </t>
  </si>
  <si>
    <t xml:space="preserve">Terminal clamp for jumpering of 100 Sqmm Al. Eq  ACSR Conductor / Isolator  </t>
  </si>
  <si>
    <t>11 kV feeder control VCB with CT's (One 11 kV VCB controlling two feeders) with 
control panel.</t>
  </si>
  <si>
    <t xml:space="preserve"> 11 kV VCB (Without CT's &amp; Panel)</t>
  </si>
  <si>
    <t xml:space="preserve"> 11 kV feeder Control Panel </t>
  </si>
  <si>
    <t>LT 3 phase 5 Wire Aerial Bunched Cable of Size 3X25+1X16+1x25</t>
  </si>
  <si>
    <t>LT 3 phase 5 Wire Aerial Bunched Cable of Size 3X35+1x16+1x25</t>
  </si>
  <si>
    <t>LT 3 phase 5 Wire Aerial Bunched Cable of Size 3X50+1x16+1x35</t>
  </si>
  <si>
    <t>PORCELAIN KITKATS FUSE UNITS 16 AMPS</t>
  </si>
  <si>
    <t>PORCELAIN KIT-KATS FUSE UNITS 100 Amps.</t>
  </si>
  <si>
    <t>PORCELAIN KIT-KATS FUSE UNITS 200 Amps</t>
  </si>
  <si>
    <t>PORCELAIN KIT-KATS FUSE UNITS 300 Amps.</t>
  </si>
  <si>
    <t>12KV KIOSK TYPE OUTDOOR VACUUM CIRCUIT B</t>
  </si>
  <si>
    <t>TPN SWITCHES, 415 VOLTS: - 32 AMPS.</t>
  </si>
  <si>
    <t>TPN SWITCHES, 415 VOLTS: - 63 AMPS.</t>
  </si>
  <si>
    <t>TPN SWITCHES, 415 VOLTS: - 100 AMPS.</t>
  </si>
  <si>
    <t>TPN SWITCHES, 415 VOLTS: - 200 AMPS.</t>
  </si>
  <si>
    <t>TPN SWITCHES, 415 VOLTS: - 300 AMPS.</t>
  </si>
  <si>
    <t>TPN SWITCHES, 415 VOLTS: - 400 AMPS.</t>
  </si>
  <si>
    <t>DIST.BOARD &amp; DP MCB 4NO 6A&amp;2NO 16A</t>
  </si>
  <si>
    <t>33 KV 600AMPS WITH EARTH SWITCH ISOLATO</t>
  </si>
  <si>
    <t xml:space="preserve">Amount </t>
  </si>
  <si>
    <t>11KV 8 FEET CENTRE DC CROSS ARM</t>
  </si>
  <si>
    <t>33 KV V CROSS ARM</t>
  </si>
  <si>
    <t>33 KV 5 FEET CENTRE DC CROSS ARM</t>
  </si>
  <si>
    <t>STRAIN PLATE</t>
  </si>
  <si>
    <t>33KV top clamp</t>
  </si>
  <si>
    <t>11KV top clamp</t>
  </si>
  <si>
    <t>11KV cut point channel paint</t>
  </si>
  <si>
    <t>33 KV 4.8 MTR DC CROSS ARM</t>
  </si>
  <si>
    <t>Stay clamp for 'H' Beam</t>
  </si>
  <si>
    <t>11KV 5KN PIN INSULATOR (POLYMER)</t>
  </si>
  <si>
    <t>33KV 10KN PIN INSULATOR (POLYMER)</t>
  </si>
  <si>
    <t>11KV 45KN DISC INSULATOR T&amp;C TYPE (POLYM</t>
  </si>
  <si>
    <t>33KV POLYMER (COMPOSITE) DISC INSULATOR</t>
  </si>
  <si>
    <t>Split insulators.</t>
  </si>
  <si>
    <t>11KV POST INSULATOR</t>
  </si>
  <si>
    <t>33KV POST INSULATOR</t>
  </si>
  <si>
    <t>Disc Insulator</t>
  </si>
  <si>
    <t>Jointing sleeve for Raccoon Conductor.</t>
  </si>
  <si>
    <t>Jointing sleeve for Dog Conductor.</t>
  </si>
  <si>
    <t>Bimetallic clamp for Power Transformer</t>
  </si>
  <si>
    <t>Bimetallic clamp for VCB</t>
  </si>
  <si>
    <t>Bimetallic clamp for CT-PT Unit</t>
  </si>
  <si>
    <t>C-7(A-1)(IV)</t>
  </si>
  <si>
    <t>(B-1)</t>
  </si>
  <si>
    <t>25 kVA on H-Beam 152x152 mm, 37.1 Kg/Mtr, 11 mtr long</t>
  </si>
  <si>
    <t>C-7(B-1)(I)</t>
  </si>
  <si>
    <t>63 kVA on  H-Beam 152x152 mm,37.1 Kg/Mtr, 11 mtr long</t>
  </si>
  <si>
    <t>C-7(B-1)(II)</t>
  </si>
  <si>
    <t>100 kVA on H-Beam 152x152 mm, 37.1 Kg/Mtr, 11mtr long</t>
  </si>
  <si>
    <t>C-7(B-1)(III)</t>
  </si>
  <si>
    <t>Total</t>
  </si>
  <si>
    <t>Lightning Arrestor Structure</t>
  </si>
  <si>
    <t>11 kV Guarding Channel 100x50 mm</t>
  </si>
  <si>
    <t>D.O. Mounting Channel 75x40 mm</t>
  </si>
  <si>
    <t>D.C.Cross arm 4' Centre 100x50 mm Channel 2 Nos.</t>
  </si>
  <si>
    <t xml:space="preserve">D.C.Cross arm 4' Centre 75x40 mm Channel </t>
  </si>
  <si>
    <t xml:space="preserve">D.C.Cross arm 4' Centre Angle 100x100x6 mm  </t>
  </si>
  <si>
    <t>D.C.Cross arm 8' Centre 100x50 mm  Channel</t>
  </si>
  <si>
    <t>33 kV Cross Arm 75x75x6 mm</t>
  </si>
  <si>
    <t>D.C.Cross arm 5' Centre 100x50 mm M.S.Channel</t>
  </si>
  <si>
    <t>33 kV Top Channel 75x75x6 mm</t>
  </si>
  <si>
    <t>11 kV Top Clamp Angle type 65x65x6 mm</t>
  </si>
  <si>
    <t>Stay Clamp Rail for H-Beam</t>
  </si>
  <si>
    <t>SCREW DRIVER 150MM</t>
  </si>
  <si>
    <t>SCREW DRIVER INSULATED 255MM</t>
  </si>
  <si>
    <t>RING SPANNER</t>
  </si>
  <si>
    <t>DOUBLE END SPANNER</t>
  </si>
  <si>
    <t>BOX SPANNER</t>
  </si>
  <si>
    <t>11 KV CAPACITOR 600KVAR</t>
  </si>
  <si>
    <t>POLE MOUNTED GAS FILLED LT SHUNT CAPACIT</t>
  </si>
  <si>
    <t>CAPACITOR BANK 11KV 3PHASE 1200 KVAR</t>
  </si>
  <si>
    <t>XMER 16KVA 11/0.4 FOUR STAR ALU WOUND</t>
  </si>
  <si>
    <t>TRANSFORMER 25KVA 11/0.4KV  FOUR STAR</t>
  </si>
  <si>
    <t>TRANSFORMER 63KVA 11/0.43KV FOUR STAR</t>
  </si>
  <si>
    <t>TRANSFORMER 100KVA 11/0.43KV FOUR STAR</t>
  </si>
  <si>
    <t>TRANSFORMER 200KVA 11/0.4KV FOUR STAR</t>
  </si>
  <si>
    <t>XMER 315KVA 11/0.43KV CEA REG. CU WOUND</t>
  </si>
  <si>
    <t>TRANSFORMER 11/.4KV 5 KVA 1 PHASE</t>
  </si>
  <si>
    <t>Combination Plier</t>
  </si>
  <si>
    <t>33 kV  FOUR  POLE  STRUCTURE  ON  PCC / H-BEAM POLE</t>
  </si>
  <si>
    <t xml:space="preserve">H-Beams 152 X 152 mm., 37.1 Kg/Mtr 13 Mtr. Long (482.3 Kg x 4 No = 1929.2 Kgs) </t>
  </si>
  <si>
    <t>H-Beams 37.1 Kg/Mtr., 13 Mtr. Long</t>
  </si>
  <si>
    <t>SAFETY HELMETS</t>
  </si>
  <si>
    <t>30 Volts 100 AH lead acid battery</t>
  </si>
  <si>
    <t>11 kV Polymeric Pin insulator with Pin</t>
  </si>
  <si>
    <t>LT 3 phase 4 Wire Aerial Bunched Cable of Size 3X25+1x25</t>
  </si>
  <si>
    <t>Distribution box 1 ph. 9 connectors along with 2 Nos. Steel Strap &amp; Buckles.</t>
  </si>
  <si>
    <t xml:space="preserve">Piercing connector suitable for 95- 16 sqmm to 10-2.5 sqmm. for street light and service connection. </t>
  </si>
  <si>
    <t xml:space="preserve">Piercing connector suitable for 95- 16 sqmm to 50-16 sqmm. cable for Distribution Box. </t>
  </si>
  <si>
    <t>Piercing connector suitable for 95- 16 sqmm to 95-16 sqmm. for Tee connection.</t>
  </si>
  <si>
    <t>Pre-Insulated Bimetallic crimping lugs for Transformer connector</t>
  </si>
  <si>
    <t>Earthing Coil for messenger wire</t>
  </si>
  <si>
    <t>Anchor sleeve for messenger wire</t>
  </si>
  <si>
    <t>Universal hook &amp; Bolts &amp; nuts</t>
  </si>
  <si>
    <t>Universal distribution connector</t>
  </si>
  <si>
    <t>Cable tie (UV protected black colour) for AB Cable</t>
  </si>
  <si>
    <t>10 Sq.mm, 4 Core</t>
  </si>
  <si>
    <t>16 Sq.mm, 4 Core</t>
  </si>
  <si>
    <t>25 Sq.mm, 4 Core</t>
  </si>
  <si>
    <t xml:space="preserve">On 280 Kg, 9.1 Mtrs long PCC poles </t>
  </si>
  <si>
    <t>A-3(i)</t>
  </si>
  <si>
    <t>A-3(ii)</t>
  </si>
  <si>
    <t>On H-Beam 152x152 mm, 37.1Kg/mtr 13 Mtrs long supports.</t>
  </si>
  <si>
    <t>A-3(iii)</t>
  </si>
  <si>
    <t>(E)</t>
  </si>
  <si>
    <t>33 kV Isolator (600 A.) Set without earth switch</t>
  </si>
  <si>
    <t xml:space="preserve">CORRECTED, EARLIER-33 kV Isolator (600 A.) Set </t>
  </si>
  <si>
    <t>11 kV Isolator (600 A.) (including 2 Nos. for capacitor bank) Set</t>
  </si>
  <si>
    <t xml:space="preserve">33 kV DO Fuse unit </t>
  </si>
  <si>
    <t xml:space="preserve">11 kV DO Fuse unit </t>
  </si>
  <si>
    <t>xi</t>
  </si>
  <si>
    <t>xii</t>
  </si>
  <si>
    <t xml:space="preserve">11 kV AB Switch </t>
  </si>
  <si>
    <t>xiii</t>
  </si>
  <si>
    <t>Single phase 33 kV PT</t>
  </si>
  <si>
    <t>xiv</t>
  </si>
  <si>
    <t>33 kV CTPT Unit 200-100/5 A</t>
  </si>
  <si>
    <t>xv</t>
  </si>
  <si>
    <t>11 kV CTPT Unit 200-100/5 A</t>
  </si>
  <si>
    <t>xvi</t>
  </si>
  <si>
    <t xml:space="preserve">Single phase 11 kV PT's </t>
  </si>
  <si>
    <t>xvii</t>
  </si>
  <si>
    <t>LT Meter (CT Operated) 100/5 A with CT's</t>
  </si>
  <si>
    <t>(i) LT Meter (CT Operated) 100/5 A</t>
  </si>
  <si>
    <t>(ii) LT CT 100/5 A</t>
  </si>
  <si>
    <t>xviii</t>
  </si>
  <si>
    <r>
      <t>H.T. STATIC TRIVECTOR METERS</t>
    </r>
    <r>
      <rPr>
        <b/>
        <sz val="11"/>
        <rFont val="Arial"/>
        <family val="2"/>
      </rPr>
      <t xml:space="preserve"> </t>
    </r>
  </si>
  <si>
    <t>3 Ø 4 Wire 0.5S with DLMS Protocol category A</t>
  </si>
  <si>
    <t>xix</t>
  </si>
  <si>
    <t>Lead Acid Battery with automatic charger</t>
  </si>
  <si>
    <t>(i) Lead Acid Battery</t>
  </si>
  <si>
    <t>(ii) Battery Charger</t>
  </si>
  <si>
    <t>xx</t>
  </si>
  <si>
    <t>33/0.4 kV station transformer (50 kVA)</t>
  </si>
  <si>
    <t>xxi</t>
  </si>
  <si>
    <t>LT Distribution box for 63 kVA X'mer</t>
  </si>
  <si>
    <t>xxii</t>
  </si>
  <si>
    <t xml:space="preserve">11 Mtr long 152 x 152 mm H-Beam (37.1 Kg/ Mtr weight) i.e.  37.1x11 mtr =408.1 Kg/pole x 6 Nos = 2448.6 Kgs </t>
  </si>
  <si>
    <t>Replaced -Steel tubular poles 12 Meter long</t>
  </si>
  <si>
    <t>xxiii</t>
  </si>
  <si>
    <t xml:space="preserve">Control cable </t>
  </si>
  <si>
    <t>a</t>
  </si>
  <si>
    <t>8 Core  2.5 Sqmm. (unarmoured)</t>
  </si>
  <si>
    <t>b</t>
  </si>
  <si>
    <t>4 Core  2.5 Sqmm. (unarmoured)</t>
  </si>
  <si>
    <t>c</t>
  </si>
  <si>
    <t>2 Core  2.5 Sqmm. (unarmoured)</t>
  </si>
  <si>
    <t>xxiv</t>
  </si>
  <si>
    <t xml:space="preserve">Tee Clamp for Dog Conductor  </t>
  </si>
  <si>
    <t>xxv</t>
  </si>
  <si>
    <t xml:space="preserve">Bi-metallic clamps   </t>
  </si>
  <si>
    <t>xxvi</t>
  </si>
  <si>
    <t>Danger Board for 33 kV &amp; 11 kV equipment/ supply pole</t>
  </si>
  <si>
    <t>xxvii</t>
  </si>
  <si>
    <t xml:space="preserve">60 Kg/Mtr 13.0 Mtr long Rails (60*5 = 300 Kg each) </t>
  </si>
  <si>
    <t>xxviii</t>
  </si>
  <si>
    <t>Marshelling Box</t>
  </si>
  <si>
    <t>Sub-total - 2</t>
  </si>
  <si>
    <t>STRUCTURE AND BUS BAR ARRANGEMENTS: -</t>
  </si>
  <si>
    <t xml:space="preserve">8 Mtr long 152 x 152 mm H-Beam (37.1 Kg/ Mtr weight) ie 37.1x8 mtr =296.8 kg/pole x 10 Nos = 2968 Kgs. </t>
  </si>
  <si>
    <t xml:space="preserve">Cost </t>
  </si>
  <si>
    <t>Cost per Unit</t>
  </si>
  <si>
    <t>Strain Plate (65x8 mm)</t>
  </si>
  <si>
    <t>Sub-total - 4</t>
  </si>
  <si>
    <t>Total including Civil works</t>
  </si>
  <si>
    <t>Total excluding Civil works</t>
  </si>
  <si>
    <t>Incidental Charges @ 9 % on "6" above</t>
  </si>
  <si>
    <t>(i)</t>
  </si>
  <si>
    <t xml:space="preserve">Services on S/s earthing </t>
  </si>
  <si>
    <t>LT 3 phase 5 Wire Aerial Bunched Cable of Size 3X50+1X25+1x35</t>
  </si>
  <si>
    <t>LT 3 phase 5 Wire Aerial Bunched Cable of Size 3X70+1x16+1x50</t>
  </si>
  <si>
    <t xml:space="preserve"> 11 kV CT's 300-150/5 Amps</t>
  </si>
  <si>
    <t xml:space="preserve">(iv) </t>
  </si>
  <si>
    <t>Foundation VCB</t>
  </si>
  <si>
    <t xml:space="preserve">(i) Cement </t>
  </si>
  <si>
    <t>Control cabling</t>
  </si>
  <si>
    <t>2 Core 2.5 Sqmm. (unarmoured)</t>
  </si>
  <si>
    <t xml:space="preserve">H.T. STATIC TRIVECTOR METER for feeder metering. </t>
  </si>
  <si>
    <t>11 kV CT/PT unit 200-100/5 Amp.</t>
  </si>
  <si>
    <t xml:space="preserve">M.S. Nuts &amp; Bolts </t>
  </si>
  <si>
    <t>d</t>
  </si>
  <si>
    <t>e</t>
  </si>
  <si>
    <t>f</t>
  </si>
  <si>
    <t xml:space="preserve">Services on Concreting of structure </t>
  </si>
  <si>
    <t xml:space="preserve">Services on Concreting of VCB  </t>
  </si>
  <si>
    <t>Services on Painting of structure</t>
  </si>
  <si>
    <t>Services on Cable trench for control kiosks</t>
  </si>
  <si>
    <t>Labour charges as per Schedule No. BL-4</t>
  </si>
  <si>
    <t>365 Kg 11 Mtr long PCC Pole</t>
  </si>
  <si>
    <t xml:space="preserve">365 Kg; 11 Mtr long PCC Pole </t>
  </si>
  <si>
    <t>New introduced</t>
  </si>
  <si>
    <t>CONTROL CABLE COP 10CORE 2.5SQMM PVC/PVC</t>
  </si>
  <si>
    <t>CONTROL CABLE COP 12CORE 2.5SQMM PVC/PVC</t>
  </si>
  <si>
    <t>ALUMINIUM 1C 16 SQ MM UNARMOURED LT PVC</t>
  </si>
  <si>
    <t>ALUMINIUM 1C 50 SQ MM UNARMOURED LT PVC</t>
  </si>
  <si>
    <t>ALUMINIUM 1C 70 SQ MM UNARMOURED LT PVC</t>
  </si>
  <si>
    <t>ALUMINIUM 1C 150 SQ MM UNARMOURED LT PVC</t>
  </si>
  <si>
    <t>ALUMINIUM 1C 300 SQ MM UNARMOURED LT PVC</t>
  </si>
  <si>
    <t>ALUMINIUM 1C 400 SQ MM UNARMOURED LT PV</t>
  </si>
  <si>
    <t>POWERCABLE ARM ALU 3.5CORE 70/35SQMM PVC</t>
  </si>
  <si>
    <t>POWERCABLE ARM ALU 3.5CORE 150/70SQMM PV</t>
  </si>
  <si>
    <t>Power Cable ARM ALU 3.5CORE 300/150SQMM</t>
  </si>
  <si>
    <t>16,0 SQMM, 4 CORE, ARMOURED AL. CABLE</t>
  </si>
  <si>
    <t>33KV ABC TERMINATION KIT 95-120 SQMM</t>
  </si>
  <si>
    <t>33KV ABC TERMINATION KIT 185 SQMM</t>
  </si>
  <si>
    <t>33KV ABC TERMINATION KIT 240 SQMM</t>
  </si>
  <si>
    <t>STRAIGHT LINE SUSPENSION ASSEMBLY FOR AL</t>
  </si>
  <si>
    <t>11KV ABC T-JOINTING KIT 35-70 SQMM</t>
  </si>
  <si>
    <t>11KV ABC T-JOINTING KIT 95-120 SQMM</t>
  </si>
  <si>
    <t xml:space="preserve">Cost per Km </t>
  </si>
  <si>
    <t>D.C.Cross Arm 5.2 Mtr. Channel</t>
  </si>
  <si>
    <t>Angle line Suspension Assembly (Suitable for all size cable)</t>
  </si>
  <si>
    <t>Aluminium Paint</t>
  </si>
  <si>
    <t>4</t>
  </si>
  <si>
    <t>C-7(B-2)(I)</t>
  </si>
  <si>
    <t>C-7(B-2)(II)</t>
  </si>
  <si>
    <t>100 kVA on H-Beam 152x152 mm, 37.1 Kg/Mtr, 11 mtr long</t>
  </si>
  <si>
    <t>C-7(B-2)(III)</t>
  </si>
  <si>
    <t>200 kVA on H-Beam 152x152 mm, 37.1 Kg/Mtr, 11 mtr long</t>
  </si>
  <si>
    <t>C-7(B-2)(IV)</t>
  </si>
  <si>
    <t>Augmentation of 11/.4 kV S/s capacity (Assuming 25 years of life &amp; 10 years in service)</t>
  </si>
  <si>
    <t>C-10 (I)</t>
  </si>
  <si>
    <t>C-10 (II)</t>
  </si>
  <si>
    <t>C-10 (III)</t>
  </si>
  <si>
    <t>11/.4 kV Out door Sub-station (16 kVA Transformer)</t>
  </si>
  <si>
    <t>C-11</t>
  </si>
  <si>
    <t>11/.4 kV Outdoor Sub-station (10 kVA Transformer)</t>
  </si>
  <si>
    <t>C-11 (A)</t>
  </si>
  <si>
    <t>Single pole mounted low capacity Single phase / Three phase 11/.4 kV Distribution Transformer Sub-station</t>
  </si>
  <si>
    <t>5 kVA Single phase</t>
  </si>
  <si>
    <t>C-13(I)</t>
  </si>
  <si>
    <t>Using Dog conductor</t>
  </si>
  <si>
    <t>Using Raccoon conductor</t>
  </si>
  <si>
    <t>60 Kg/Mtr 13.0 Mtr long Rails (780 Kg each) x 2 No = 1560 Kgs</t>
  </si>
  <si>
    <t xml:space="preserve">(iii) M.S. Angle 65X65x6 mm </t>
  </si>
  <si>
    <t xml:space="preserve">Concreting of Rail / H-Beam Supports @ 0.6 Cmt. Per Pole; @ 0.05 Cmt per Pole for  base Padding  &amp; @ 0.3 Cmt. Per stay </t>
  </si>
  <si>
    <t>Using 152x152 mm 37.1 Kg/Mtr 13 M (482.30 Kg) long H-Beam</t>
  </si>
  <si>
    <t xml:space="preserve">(ii) Stay Clamp For H-Beam Pole </t>
  </si>
  <si>
    <t>Cement @ 208 Kg/cmt for Stay</t>
  </si>
  <si>
    <t>Cement @ 208 Kg/Cmt for pole</t>
  </si>
  <si>
    <t>Cement @ 208 Kg/Cmt for stay</t>
  </si>
  <si>
    <t>(viii) MS Nut &amp; Bolt 16x90 mm</t>
  </si>
  <si>
    <t xml:space="preserve">H-Beam 152x152 mm 37.1 Kg/Mtr 13 M (482.30 Kg) x 1 No = 482.3 Kgs </t>
  </si>
  <si>
    <t>(i) Stay Clamp for "H" Beam</t>
  </si>
  <si>
    <t>12x65 mm</t>
  </si>
  <si>
    <t>12x120 mm</t>
  </si>
  <si>
    <t>12x140 mm</t>
  </si>
  <si>
    <t>16x100 mm</t>
  </si>
  <si>
    <t>16x250 mm</t>
  </si>
  <si>
    <t>16x300 mm</t>
  </si>
  <si>
    <t>20x75 mm</t>
  </si>
  <si>
    <t>20x90 mm</t>
  </si>
  <si>
    <t>20x110 mm</t>
  </si>
  <si>
    <t>24x120 mm</t>
  </si>
  <si>
    <t>G.I. Spring Washer</t>
  </si>
  <si>
    <t>Gl Pipe 40 mm</t>
  </si>
  <si>
    <t>Per Mtr</t>
  </si>
  <si>
    <t>Danger board 33 kV &amp; 11 kV</t>
  </si>
  <si>
    <t>Earthing set (Pipe earth as per DRG No.-G/008)</t>
  </si>
  <si>
    <t>33KV CT's (100-50/5)A oil filled OD Type</t>
  </si>
  <si>
    <t xml:space="preserve">H-Beam 152x152 mm 37.1 Kg/Mtr 13 M long (482.30 Kg) x 20 No = 9646 Kgs </t>
  </si>
  <si>
    <t>Stay Clamp for "H" Beam</t>
  </si>
  <si>
    <t>(viii) Stay Clamp for "H" Beam</t>
  </si>
  <si>
    <t xml:space="preserve">H-Beam 152x152 mm 37.1 Kg/Mtr 13 M (482.3 Kg) / pole x 2 No = 964.6 Kgs </t>
  </si>
  <si>
    <t>33 kV ABC Termination kit 185 sqmm</t>
  </si>
  <si>
    <t>Nos.</t>
  </si>
  <si>
    <t>L.T.Distribution Box for 500 kVA X'mer (800 A, isolator &amp; 12 SP MCCB of 150 A)</t>
  </si>
  <si>
    <t>33 kV Single Phase PT's (Oil filled)</t>
  </si>
  <si>
    <t>132 kV P.T.</t>
  </si>
  <si>
    <t>220 kV P.T.</t>
  </si>
  <si>
    <t>SCHEDULE  FOR  33/11  kV,  3.15 MVA,  1.6 MVA  SUB-STATION  WITH  TWO  BAYS  FOR  OUTGOING  FEEDERS AND  5 MVA  SUB-STATION  WITH  THREE  BAYS  FOR  OUTGOING  FEEDERS  AT  NEW  SITE</t>
  </si>
  <si>
    <t>Proposed 33/11 kV S/s expandable to 2x1.6 MVA with control room</t>
  </si>
  <si>
    <t>Proposed 33/11 kV S/s expandable to 2x3.15 MVA with control room</t>
  </si>
  <si>
    <t>Proposed 33/11 kV S/s expandable to 2x5 MVA with control room</t>
  </si>
  <si>
    <t>LAND AND CIVIL WORKS</t>
  </si>
  <si>
    <t xml:space="preserve">i </t>
  </si>
  <si>
    <t xml:space="preserve">Area fencing with Barbed wire &amp; RCC post </t>
  </si>
  <si>
    <t>Drilling of bore well (60 Mtr. deep) with Submersible / Jet pump, overhead tank &amp; pipe line for earth pit</t>
  </si>
  <si>
    <t>iii</t>
  </si>
  <si>
    <t>Construction of control room with toilet (size 9.8 mtr x 5.5 mtr control room).</t>
  </si>
  <si>
    <t>iv</t>
  </si>
  <si>
    <t>Chain link mesh yard fencing with 65x65x6 mm 3 Mtr. Height M.S.Angle.</t>
  </si>
  <si>
    <t>v</t>
  </si>
  <si>
    <t>Iron Gate [3.26 x 1.8 m (Weight approx. 300 Kg) in RCC Column of size 40x40 cm]</t>
  </si>
  <si>
    <t>vi</t>
  </si>
  <si>
    <t>vii</t>
  </si>
  <si>
    <t>Yard Metalling 30 m x 30 m x 0.2 m</t>
  </si>
  <si>
    <t>Cu. M</t>
  </si>
  <si>
    <t>viii</t>
  </si>
  <si>
    <t>WBM Road (3.75 Mtr wide)</t>
  </si>
  <si>
    <t>ix</t>
  </si>
  <si>
    <t>Hume pipe culvert (450 mm dia)</t>
  </si>
  <si>
    <t>x</t>
  </si>
  <si>
    <t>Brick masonary retaining wall 1 Mtr. High.</t>
  </si>
  <si>
    <t>Sub total-1</t>
  </si>
  <si>
    <t>EQUIPMENTS</t>
  </si>
  <si>
    <t xml:space="preserve">33/11 kV transformer 1.60 MVA </t>
  </si>
  <si>
    <t xml:space="preserve">33/11 kV transformer 3.15 MVA </t>
  </si>
  <si>
    <t xml:space="preserve">33/11 kV transformer 5.00 MVA </t>
  </si>
  <si>
    <t>33 kV VCB (With CT's &amp; panel)</t>
  </si>
  <si>
    <t>(i) 33 kV VCB (Without CT's &amp; Panel)</t>
  </si>
  <si>
    <t xml:space="preserve">(ii) 33 kV Control Panel </t>
  </si>
  <si>
    <t>(iii) 33 kV CT's 200-100/5 Amps</t>
  </si>
  <si>
    <t>11 kV VCB for X'mer protection (With CTs &amp; panel)</t>
  </si>
  <si>
    <t>(i) 11 kV VCB (Without CT's &amp; Panel)</t>
  </si>
  <si>
    <t xml:space="preserve">(ii) 11 kV Control Panel for Transformer Protection </t>
  </si>
  <si>
    <t xml:space="preserve">(iii) 11 kV CT's 300-150/5 Amps </t>
  </si>
  <si>
    <t>185 Sq mm</t>
  </si>
  <si>
    <t>225 Sq mm</t>
  </si>
  <si>
    <t>240 Sq mm</t>
  </si>
  <si>
    <t>300 Sq mm</t>
  </si>
  <si>
    <t>400 Sq mm</t>
  </si>
  <si>
    <t>Battery Hydrometer</t>
  </si>
  <si>
    <t>Digital Multimeter Electronic Type</t>
  </si>
  <si>
    <t>Rubber Hand gloves 15 kV (Seamless)</t>
  </si>
  <si>
    <t>Thermometer (Wall Mounted)</t>
  </si>
  <si>
    <t>Portable drilling machine</t>
  </si>
  <si>
    <t>Megger 500 V</t>
  </si>
  <si>
    <t>Megger up to 2.5 kV</t>
  </si>
  <si>
    <t>Silica gel</t>
  </si>
  <si>
    <t>25 kVA to 63 kVA</t>
  </si>
  <si>
    <t>63 kVA to 100 kVA</t>
  </si>
  <si>
    <t>100 kVA to 200 kVA</t>
  </si>
  <si>
    <t>Augmentation of 1 km. of 33 kV line from Raccoon to Dog conductor.</t>
  </si>
  <si>
    <t>A-3 (A)</t>
  </si>
  <si>
    <t>(F)</t>
  </si>
  <si>
    <t>A-3 (B)</t>
  </si>
  <si>
    <t>Per No.</t>
  </si>
  <si>
    <t>(G)</t>
  </si>
  <si>
    <t>T.C. Fuse Wire 16 SWG</t>
  </si>
  <si>
    <t>T.C. Fuse Wire 14 SWG</t>
  </si>
  <si>
    <t>CABLE MARKER FOR U/G CABLE</t>
  </si>
  <si>
    <t>7130880041Danger boards 33KV &amp; 11 KV.</t>
  </si>
  <si>
    <t>M.S. SHEET METER PILLER BOX</t>
  </si>
  <si>
    <t>LT FEEDER PILLER BOX FOR 1PH 8 CONNECTIO</t>
  </si>
  <si>
    <t>LT FEEDER PILLER BOX FOR 3PH 4 CONNECTIO</t>
  </si>
  <si>
    <t>LT FEEDER PILLER BOX FOR 3PH 8 CONNECTIO</t>
  </si>
  <si>
    <t>LT LINE SPACERS</t>
  </si>
  <si>
    <t>GSM MODEM</t>
  </si>
  <si>
    <t>EYE HOOK</t>
  </si>
  <si>
    <t>33 KV guarding channel 100x50 mm.</t>
  </si>
  <si>
    <t>LAMP METAL HALIDE 250W</t>
  </si>
  <si>
    <t>METAL HALIDE LAMP 250 WATT</t>
  </si>
  <si>
    <t>LAMPS: -Tube Light (40 Watts.)</t>
  </si>
  <si>
    <t>250 WATT SODIUM VAPOUR LAMP WITH HOLDER</t>
  </si>
  <si>
    <t>MERCURY VAPOUR LAMP 250 WATTS 230/250 VO</t>
  </si>
  <si>
    <t>S/ V HIGH PRESSURE LAMP 400W 230/250V</t>
  </si>
  <si>
    <t>CFL 20 WATTS LAMP</t>
  </si>
  <si>
    <t>STREET LIGHT FITTING WITH TUBE LIGHT</t>
  </si>
  <si>
    <t>STREET LIGHT FITTING WITH CFL</t>
  </si>
  <si>
    <t>HPSV LAMP 150 WATT</t>
  </si>
  <si>
    <t>HPSV LAMP 250 WATT</t>
  </si>
  <si>
    <t>150 WATT METAL HALIDE HPSV FITTING</t>
  </si>
  <si>
    <t>250 WATT METAL HALIDE HPSV FITTING</t>
  </si>
  <si>
    <t>ENERGY METER ENECTRONIC 10-60 AMPS</t>
  </si>
  <si>
    <t>SUMMATION METER</t>
  </si>
  <si>
    <t>DC VOLT METER RANG -3V TO +5V</t>
  </si>
  <si>
    <t>STATIC ENERGY METER S.PH 2 WIRE 5-30 A</t>
  </si>
  <si>
    <t>Common Meter Reading Instrument CMRI</t>
  </si>
  <si>
    <t>HT TRIVECTOR METER 5 AMPS</t>
  </si>
  <si>
    <t>ELECTORNIC LTCT METER 3X4 100/5 A</t>
  </si>
  <si>
    <t>3PHASE 4WIRE HT TRIVECTOR STATIC (ELECTR</t>
  </si>
  <si>
    <t>3PHASE 4WIRE 1AMP HT TRIVECTOR STATIC (</t>
  </si>
  <si>
    <t>3PHASE 3WIRE 1AMP HT TRIVECTOR STATIC (</t>
  </si>
  <si>
    <t>TTB</t>
  </si>
  <si>
    <t>LT ELEC.STATIC METER3X4X20-100A WITHLUGS</t>
  </si>
  <si>
    <t>3 PHASE 4 WIRE LTCT OPERATED METER</t>
  </si>
  <si>
    <t>MULTIMETER ELECTRONIC DIGITAL</t>
  </si>
  <si>
    <t>MEGGER 1000VOLTS</t>
  </si>
  <si>
    <t>Poly Carbonate seals for meter</t>
  </si>
  <si>
    <t>Poly Carbonate seal double anker type</t>
  </si>
  <si>
    <t>LT Feeder Piller box for 1 phase 8 connection made of M.S.Sheet.</t>
  </si>
  <si>
    <t>LT Feeder Piller box for 1 phase 12 connection made of M.S.Sheet.</t>
  </si>
  <si>
    <t xml:space="preserve">LT Feeder Piller box for 3 phase 4 connection made of M.S.Sheet. </t>
  </si>
  <si>
    <t>LT Feeder Piller box for 3 phase 8 connection made of M.S.Sheet.</t>
  </si>
  <si>
    <t>L.T.Line Spacers</t>
  </si>
  <si>
    <t>GSM Modem</t>
  </si>
  <si>
    <t>10 Sq mm</t>
  </si>
  <si>
    <t>16 Sq mm</t>
  </si>
  <si>
    <t>25 Sq mm</t>
  </si>
  <si>
    <t>32 Sq mm</t>
  </si>
  <si>
    <t>50 Sq mm</t>
  </si>
  <si>
    <t>70 Sq mm</t>
  </si>
  <si>
    <t>95 Sq mm</t>
  </si>
  <si>
    <t>120 Sq mm</t>
  </si>
  <si>
    <t>150 Sq mm</t>
  </si>
  <si>
    <t>Additional (Mid Span) Poles for new 11 kV Line with Raccoon Conductor</t>
  </si>
  <si>
    <t>C-9(A)</t>
  </si>
  <si>
    <t>(M)</t>
  </si>
  <si>
    <t xml:space="preserve">11 kV under ground cable crossing under railway track for 60 mtr length, under 2.5 mtr deep for ground level </t>
  </si>
  <si>
    <t>C-12</t>
  </si>
  <si>
    <t>(N)</t>
  </si>
  <si>
    <t xml:space="preserve">11 kV under ground cable Road crossing for 50 mtr length, under 2.5 mtr deep for ground level </t>
  </si>
  <si>
    <t>C-12 (A)</t>
  </si>
  <si>
    <t>(O)</t>
  </si>
  <si>
    <t xml:space="preserve">Laying of 1 Km 11 kV Line using </t>
  </si>
  <si>
    <t>3 Core 95 Sqmm underground cable</t>
  </si>
  <si>
    <t>C-15(I)</t>
  </si>
  <si>
    <t>3 Core 240 Sqmm  underground cable</t>
  </si>
  <si>
    <t>C-15(II)</t>
  </si>
  <si>
    <t>3 Core 400 Sqmm underground cable</t>
  </si>
  <si>
    <t>C-15(III)</t>
  </si>
  <si>
    <t>(P)</t>
  </si>
  <si>
    <t>D.T. Capacitors on existing DTR's (Retained &amp; shifted)</t>
  </si>
  <si>
    <t>C-16</t>
  </si>
  <si>
    <t>C-16 (i)</t>
  </si>
  <si>
    <t>C-16 (ii)</t>
  </si>
  <si>
    <t>C-16 (iii)</t>
  </si>
  <si>
    <t>C-16 (iv)</t>
  </si>
  <si>
    <t>C-16 (v)</t>
  </si>
  <si>
    <t>(Q)</t>
  </si>
  <si>
    <t>37.1 Kg /Mtrs 11 Mtrs long H-Beam supports</t>
  </si>
  <si>
    <t>C-17 (i)</t>
  </si>
  <si>
    <t>(R)</t>
  </si>
  <si>
    <t>New Automated 11 kV Capacitor Bank at 33/11 kV Sub-stations</t>
  </si>
  <si>
    <t xml:space="preserve">12.1 kV,1815 kVAr, 3-Phase, 50 Hz, Outdoor Type, Capacitor bank having  step as  363 Kvar + 726 Kvar+ 726  Kvar 12.1 KV. </t>
  </si>
  <si>
    <t>C-18 (i)</t>
  </si>
  <si>
    <t xml:space="preserve">12.1 kV,1089 KVAr, 3-Phase, 50 Hz, Outdoor Type, Capacitor bank having  step as 363 Kvar + 726 Kvar 12.1 KV . </t>
  </si>
  <si>
    <t>C-18 (ii)</t>
  </si>
  <si>
    <t>PART-V, 11/0.4 kV Transformer S/s.</t>
  </si>
  <si>
    <t>A (A-1)</t>
  </si>
  <si>
    <t>25 kVA on 140 Kg, 8.0 Mtr long PCC poles</t>
  </si>
  <si>
    <t>C-7(A-1)(I)</t>
  </si>
  <si>
    <t>63 kVA on 140 Kg, 8.0 Mtr long PCC poles</t>
  </si>
  <si>
    <t>C-7(A-1)(II)</t>
  </si>
  <si>
    <t>100 kVA on 175 x 85 mm, 9.0 Mtr long reinforced R.S. Joist.</t>
  </si>
  <si>
    <t>C-7(A-1)(III)</t>
  </si>
  <si>
    <t>Polymer L.A. replaces Porcelain</t>
  </si>
  <si>
    <t>11 kV Polymer Lightning Arrestors</t>
  </si>
  <si>
    <t>DIGITAL TONG TESTER 3 1/2 DIGITAL LCD DI</t>
  </si>
  <si>
    <t>HAND TORCH 3 CELLED</t>
  </si>
  <si>
    <t>DRY CHEMICAL POWER FIRE</t>
  </si>
  <si>
    <t>RIVER SAND</t>
  </si>
  <si>
    <t>OIL IMMERSED 3 PHASE CTPT UNITS 200/5</t>
  </si>
  <si>
    <t>CT/PT UNIT 33KV/110 V 400-200/5 A OIL</t>
  </si>
  <si>
    <t>VOLTAGE TRANSFORMER 11 K V/110 VOLTS SIN</t>
  </si>
  <si>
    <t>VOLTAGE TRANSFORMER 33KV/110VOLTS SINGLE</t>
  </si>
  <si>
    <t>VOLTAGE TRANSFORMER 132KV/110V SINGLE PH</t>
  </si>
  <si>
    <t>VOLTAGE X-MER 220KV/110-63.5V SINGLE PH</t>
  </si>
  <si>
    <t>SAFETY BELTS</t>
  </si>
  <si>
    <t>Specific gravity correction chart</t>
  </si>
  <si>
    <t>Wall mounting type holder for Hydrometer</t>
  </si>
  <si>
    <t>Earth resistance tester (20/200/2000 Ω)</t>
  </si>
  <si>
    <t>Rain Coats with Hoods</t>
  </si>
  <si>
    <t>Gum Boots</t>
  </si>
  <si>
    <t xml:space="preserve">(ii) H-Beam 152x152 mm 37.1 Kg/Mtr 13 M (482.3 Kg) / pole x 2 No = 964.6 Kgs </t>
  </si>
  <si>
    <t>(iii) 60 Kg/Mtr 13.0 Mtr long Rails (780 Kg each) x 2 No = 1560 Kgs</t>
  </si>
  <si>
    <t xml:space="preserve">(v) M.S.Angle 65X65x6 mm </t>
  </si>
  <si>
    <t>(vi) Stay Wire 7/8 SWG @ 8.5 kg Per Pole</t>
  </si>
  <si>
    <t>280 Kg; 9.1 Mtr long</t>
  </si>
  <si>
    <t>350 Kg; 7.0 Mtr long</t>
  </si>
  <si>
    <t>100x50 mm</t>
  </si>
  <si>
    <t>75x40 mm</t>
  </si>
  <si>
    <t>65x8 mm</t>
  </si>
  <si>
    <t>50x6 mm</t>
  </si>
  <si>
    <t>65 x 65 x 6 mm</t>
  </si>
  <si>
    <t>50 x 50 x 6 mm</t>
  </si>
  <si>
    <t xml:space="preserve">Anchor clamp assembly (consisting of GI Pole Clamp, GI Flat type I-hook &amp; Nylon Cable tie). </t>
  </si>
  <si>
    <t>3 Phase, 5 Wire LT line on 125 x 70 mm, 9.3 Mtrs long R.S. Joist with 3 Rabbit &amp; 2 Weasel conductors (Span upto 45 Meters)</t>
  </si>
  <si>
    <t>D-4(I)</t>
  </si>
  <si>
    <t>3 Phase, 5 Wire LT line on 175 x 85 mm, 9.3 Mtrs long R.S. Joist with 3 Raccoon &amp; 2 Weasel conductors (Span upto 65 Meters)</t>
  </si>
  <si>
    <t>D-4(II)</t>
  </si>
  <si>
    <t>1 Phase, 3 Wire LT line on 9.3 Mtrs long 125x70 mm R.S. Joist with following conductors</t>
  </si>
  <si>
    <t>D-5(I)</t>
  </si>
  <si>
    <t>(i) H-Beam 152x152 mm 08 mtr long 37.1 kg/mtr i.e.= 296.8 kg/pole x 4 No = 1187.20 Kgs</t>
  </si>
  <si>
    <t xml:space="preserve">(ii) D.C.Cross arm Channel 5.2 mtr 100x50 mm </t>
  </si>
  <si>
    <t>SET OF 3 O.C. RELAYS INSTANTANEOUS HIGH</t>
  </si>
  <si>
    <t>SET OF 2 O.C. +1 EARTH FAULT RELAY WITHO</t>
  </si>
  <si>
    <t>TESTER NEON/PENCIL/SCREW DRIVER</t>
  </si>
  <si>
    <t>THERMOMETER (WALL MOUNTED)</t>
  </si>
  <si>
    <t>6 TO 16 AMPS LT SINGLE PHASE MCB</t>
  </si>
  <si>
    <t>160AMPS(10 KA TP) MOULDED CASE CIRCUIT B</t>
  </si>
  <si>
    <t>LT ROBUST POLE FUSE UNIT</t>
  </si>
  <si>
    <t>L.T. Distribution Box for 63 kVA X'mer (200 A, isolator &amp; 6 SP MCCB of 100 A)</t>
  </si>
  <si>
    <t>L.T. Distribution Box for 100 kVA X'mer (200 A, isolator &amp; 6 SP MCCB of 200 A)</t>
  </si>
  <si>
    <t>L.T. Distribution Box for 200 kVA X'mer (400 A, isolator &amp; 6 SP MCCB of 120A)</t>
  </si>
  <si>
    <t>L.T. Distribution Box for 315 kVA X'mer (600 A, isolator &amp; 9 SP MCCB of 160A)</t>
  </si>
  <si>
    <t>Stay Wire 7/8 SWG @ 8.5 Kg/Stay</t>
  </si>
  <si>
    <t>DC Cross arm (100x50 mm) Channel 5' Center</t>
  </si>
  <si>
    <t>Stay Wire 7/8 SWG @ 8.5 Kg./pole</t>
  </si>
  <si>
    <t xml:space="preserve">Stay Set 20 mm complete </t>
  </si>
  <si>
    <t>Danger Board</t>
  </si>
  <si>
    <t>Labour Charges  as per Schedule  AL-2</t>
  </si>
  <si>
    <t>Cost per Km for Non- guaranteed Works (Rounded off )</t>
  </si>
  <si>
    <t xml:space="preserve">Cost per DP for Non- guaranteed Works (Rounded off ) </t>
  </si>
  <si>
    <t>S.No.</t>
  </si>
  <si>
    <t>Particulars</t>
  </si>
  <si>
    <t>Jointing Sleeves suitable for Dog ACSR Conductor</t>
  </si>
  <si>
    <t>Guarding</t>
  </si>
  <si>
    <t>(i) GI Wire 6 SWG</t>
  </si>
  <si>
    <t>(iv) M.S Nut &amp; Bolt 16x140 mm.</t>
  </si>
  <si>
    <t>(vii) Stay Wire 7/8 SWG @ 8.5 Kg. Stay</t>
  </si>
  <si>
    <t>Service in lieu of concreting, metal &amp; sand</t>
  </si>
  <si>
    <t>Labour Charges</t>
  </si>
  <si>
    <t>Stay erection</t>
  </si>
  <si>
    <t>Stringing of Dog Conductor</t>
  </si>
  <si>
    <t>Ckt Km</t>
  </si>
  <si>
    <t>Labour Charge for Guarding</t>
  </si>
  <si>
    <t>Span</t>
  </si>
  <si>
    <t>Dismantling Charges</t>
  </si>
  <si>
    <t>Returnable cost of old conductor  assuming 25 years of life &amp; 20 years in service</t>
  </si>
  <si>
    <t>33 kV Top Clamp</t>
  </si>
  <si>
    <t xml:space="preserve">Binding wire and tape </t>
  </si>
  <si>
    <t>COST SCHEDULE A-6 (A)</t>
  </si>
  <si>
    <t>Labour Charges as per Schedule CL-10 (Schedule is for 1 km line same has been revised as per 50 Mtrs.)</t>
  </si>
  <si>
    <t>Municipality Charges for reinstatement of Road as per Nagar Nigam</t>
  </si>
  <si>
    <t xml:space="preserve">Cost per 50 Mtr Undergrounding (Rounded off ) </t>
  </si>
  <si>
    <t>Transportation Charges as per Schedule</t>
  </si>
  <si>
    <t>Total Cost including Transportation Charges</t>
  </si>
  <si>
    <t>COST SCHEDULE -- A-3 (A)</t>
  </si>
  <si>
    <t>ACSR Dog Conductor 100 sq.mm</t>
  </si>
  <si>
    <t>(iii) 33 kV Guarding Channel (Set)</t>
  </si>
  <si>
    <t xml:space="preserve">(iii) 33 kV guarding channel </t>
  </si>
  <si>
    <t>Concreting of Stay Set @ 0.3 Cmt per stay</t>
  </si>
  <si>
    <t>`</t>
  </si>
  <si>
    <t>11 kV Disc Insulator</t>
  </si>
  <si>
    <t>Concreting of pole @ 0.6 Cmt per pole; @ 0.05 Cmt per pole for base padding &amp; @ 0.3 Cmt per Stay</t>
  </si>
  <si>
    <t>Labour charges: -</t>
  </si>
  <si>
    <t>X'mer erection (Labour sch BL-3)</t>
  </si>
  <si>
    <t>Other items as per schedule [Labour Schedule BL-2+(3*BL-4)]</t>
  </si>
  <si>
    <t>Transport charges upto 50 Km lead from area stores to construction site for addl. lead refer Schedule T-2</t>
  </si>
  <si>
    <t xml:space="preserve">For Transformer only </t>
  </si>
  <si>
    <t xml:space="preserve">For other material (Excluding Power Transformer) </t>
  </si>
  <si>
    <t xml:space="preserve">SUB TOTAL-B </t>
  </si>
  <si>
    <t>Grand Total cost of S/s. (Rounded off)</t>
  </si>
  <si>
    <t>(1) All the rates are with considering price variation clause.</t>
  </si>
  <si>
    <t xml:space="preserve">11 kV DP structure on RS Joist 175X85 mm 11.0 Mtr. long </t>
  </si>
  <si>
    <t>Using 1100 Volt grade AB Cable 3x25+1x16+1x25</t>
  </si>
  <si>
    <t xml:space="preserve">Horizontal &amp; Cross bracing </t>
  </si>
  <si>
    <t>Service in lieu of concreting metal &amp; Sand only</t>
  </si>
  <si>
    <t>Cable separator in RCC Pipe with Angle Cross of 50x50x6 mm Angle @ 2 No. in one pipe</t>
  </si>
  <si>
    <t>Caping of RCC Pipe on both end of pipe with Concreting and Bricks work</t>
  </si>
  <si>
    <t>S. No.</t>
  </si>
  <si>
    <t>COST SCHEDULE   A-1</t>
  </si>
  <si>
    <t>16x65 mm</t>
  </si>
  <si>
    <t>16x90 mm</t>
  </si>
  <si>
    <t>16x140 mm</t>
  </si>
  <si>
    <t>16x160 mm</t>
  </si>
  <si>
    <t>(ix) M.S.Nuts &amp; Bolts 16x90 mm.</t>
  </si>
  <si>
    <t>(i) Stay set 20 mm</t>
  </si>
  <si>
    <t>(ii) Stay Clamp For PCC Pole</t>
  </si>
  <si>
    <t>Cement @ 208 Kg/cmt</t>
  </si>
  <si>
    <t xml:space="preserve">Danger Board </t>
  </si>
  <si>
    <t>(i) Stay Clamp for PCC Pole</t>
  </si>
  <si>
    <t>(ii) Stay Clamp for Rail Pole A Type</t>
  </si>
  <si>
    <t>(iii) Stay Clamp for Rail Pole B Type</t>
  </si>
  <si>
    <t>33 kV G.I. Pin</t>
  </si>
  <si>
    <t>(ii) Stay Clamp for PCC Pole</t>
  </si>
  <si>
    <t>(iii) Stay Clamp for Rail Pole A Type</t>
  </si>
  <si>
    <t>(iv) Stay Clamp for Rail Pole B Type</t>
  </si>
  <si>
    <t>16x200 mm</t>
  </si>
  <si>
    <t xml:space="preserve">Transport charges upto 50 Kms average lead from Area Store to construction camp including site Transport (Trans. Schedule T-1) </t>
  </si>
  <si>
    <t>Cement @ 208 Kg/Cmt</t>
  </si>
  <si>
    <t>Cost per DP for non-guaranteed works (Round off)</t>
  </si>
  <si>
    <t>Labour charges as per Schedule No.- AL-2</t>
  </si>
  <si>
    <t xml:space="preserve">DC cross arm of 100x50 mm Channel 5' Center </t>
  </si>
  <si>
    <t>Stay Wire 7/8 SWG @ 8.5 kg Per stay</t>
  </si>
  <si>
    <t xml:space="preserve">(iii) 33 kV Guarding Channel </t>
  </si>
  <si>
    <t>(viii) Stay wire 7/8 SWG &amp; 8.5 Kg/ stay</t>
  </si>
  <si>
    <t xml:space="preserve">PARTICULARS </t>
  </si>
  <si>
    <t xml:space="preserve">S. No. </t>
  </si>
  <si>
    <t xml:space="preserve">Labour Charges per Km as per Schedule - AL-4  </t>
  </si>
  <si>
    <t>LT 3 phase 5 Wire Aerial Bunched Cable of Size 3X95+1x16+1x50</t>
  </si>
  <si>
    <t>LT 3 phase 5 Wire Aerial Bunched Cable of Size 3X95+1x16+1x70</t>
  </si>
  <si>
    <t>LT 3 phase 5 Wire Aerial Bunched Cable of Size 3X95+1x35+1x70</t>
  </si>
  <si>
    <t>Suspension Clamp (Suitable for all size cable)</t>
  </si>
  <si>
    <t>Distribution box 1 ph. 4 connectors</t>
  </si>
  <si>
    <t>Providing, Fabricating and fixing 8 SWG Chain link fencing (TATA Make) 75 x 75 mm Size Gl Chain link Mesh fencing made out of 65 x 65 x 6 mm MS angle as per drawing no. T&amp;D/DRG/MISC/2 Revision -2</t>
  </si>
  <si>
    <t>Sq.mtr</t>
  </si>
  <si>
    <t>Pad Connector (for Panther conductor)</t>
  </si>
  <si>
    <t>Strain Plate (50x6 mm) for 11 kV</t>
  </si>
  <si>
    <t xml:space="preserve">Earlier - 33 kV Pin Insulator </t>
  </si>
  <si>
    <t>33 kV Polymeric Pin Insulator with Pin</t>
  </si>
  <si>
    <t>Earlier- 33 kV Pin Insulator</t>
  </si>
  <si>
    <t xml:space="preserve">11 kV Polymeric Pin Insulator with Pin </t>
  </si>
  <si>
    <t>Earlier- 11 kV Pin Insulator</t>
  </si>
  <si>
    <t>33 kV  G.I. Pin</t>
  </si>
  <si>
    <t>Polymer Disc Insulator for 33 kV Side</t>
  </si>
  <si>
    <t>Polymer Disc insulator for 11 kV side (double disc)</t>
  </si>
  <si>
    <t>Earlier- Porcelain Disc Insulator</t>
  </si>
  <si>
    <t>Earlier-Porcelain Disc Insulator</t>
  </si>
  <si>
    <t>11 kV, 2 Addl. bus bar structure 08 mtr long H- Beam 37.1 Kg/mtr  with 4 Nos, 5.2 Mtr long DC cross arm (100 x 50 mm)</t>
  </si>
  <si>
    <t>(i) H-Beam 152x152 mm 08 mtr long 37.1 kg/mtr i.e.= 296.8 kg/pole x 4 No = 1187.2 Kgs.</t>
  </si>
  <si>
    <t>(ii) H-Beam 152x152 mm 11 mtr long 37.1 kg/mtr i.e.= 408.1 kg/pole x 4 No = 1632.40 Kgs</t>
  </si>
  <si>
    <t>(iii) D.C.Cross arm Channel 5.2 mtr 100x50 mm (set)</t>
  </si>
  <si>
    <t>(iv) D.C.Cross arm 2.7 Meter 100x50 mm Channel</t>
  </si>
  <si>
    <t>Dog conductor</t>
  </si>
  <si>
    <t>(vi)</t>
  </si>
  <si>
    <t>(vii)</t>
  </si>
  <si>
    <t>(viii)</t>
  </si>
  <si>
    <t xml:space="preserve">Bi-metallic clamps for transformer   </t>
  </si>
  <si>
    <t>(ix)</t>
  </si>
  <si>
    <r>
      <t xml:space="preserve">Bi-metallic clamps for VCBs  </t>
    </r>
    <r>
      <rPr>
        <sz val="12"/>
        <rFont val="Arial"/>
        <family val="2"/>
      </rPr>
      <t xml:space="preserve"> </t>
    </r>
  </si>
  <si>
    <t>(x)</t>
  </si>
  <si>
    <t>Strain hardware with strain set suitable for Dog conductor: -</t>
  </si>
  <si>
    <t>(ii) GI Wire 8 SWG</t>
  </si>
  <si>
    <t>(v) I - Bolt Big Size</t>
  </si>
  <si>
    <t xml:space="preserve">DC cross arm of 100x50 mm Channel (3.8 Mtr. Long) </t>
  </si>
  <si>
    <t>GI earthing pipe of 40 mm dia. &amp; 2.4 mm thick 3.04 mtr long with 12 mm hole at 18 places at equal distance trapered casing at lower end .</t>
  </si>
  <si>
    <t>G.I.Bend of 40 mm dia.</t>
  </si>
  <si>
    <t>33 kV CTPT unit of appropriate capacity</t>
  </si>
  <si>
    <t>Copper control cable 10 Core  2.5 Sqmm. (armoured)</t>
  </si>
  <si>
    <t>H.T. Static Trivector Meter 3 Ø 4 Wire 0.5 S with DLMS Protocol category A</t>
  </si>
  <si>
    <t>Universal Meter Box for HT meters.</t>
  </si>
  <si>
    <t>Test terminal Box (TTB)</t>
  </si>
  <si>
    <r>
      <t>Note:-</t>
    </r>
    <r>
      <rPr>
        <b/>
        <sz val="12"/>
        <rFont val="Arial"/>
        <family val="2"/>
      </rPr>
      <t xml:space="preserve">  </t>
    </r>
    <r>
      <rPr>
        <sz val="12"/>
        <rFont val="Arial"/>
        <family val="2"/>
      </rPr>
      <t>1. This Schedule is to be supplemented with Schedule A-1 &amp; A-3.</t>
    </r>
  </si>
  <si>
    <t>Document – As per W/o of G.S. Flat mesh earthing of 33/11 kV S/s as per No. CE/RR/TR/4328/9029  Raipur, Dt. 05/03/2007 (Rate taken from Sch.- III)</t>
  </si>
  <si>
    <r>
      <t xml:space="preserve">(ii) GI Pipe of 40 mm dia </t>
    </r>
    <r>
      <rPr>
        <sz val="10"/>
        <color indexed="10"/>
        <rFont val="Arial"/>
        <family val="2"/>
      </rPr>
      <t xml:space="preserve">2.4 mm thick </t>
    </r>
    <r>
      <rPr>
        <sz val="10"/>
        <rFont val="Arial"/>
        <family val="2"/>
      </rPr>
      <t>3.04 mtr long with 12 mm hole at 18 places at equal distance trapered casing at lower end .</t>
    </r>
  </si>
  <si>
    <t xml:space="preserve">(iii) MS flat 50x6 mm size </t>
  </si>
  <si>
    <t>M.S. Nut- Bolts</t>
  </si>
  <si>
    <t>MS Nuts and bolts 16x40 mm</t>
  </si>
  <si>
    <t>MS Nuts and bolts 16x65 mm</t>
  </si>
  <si>
    <t>MS Nuts and bolts 16x90 mm</t>
  </si>
  <si>
    <t>MS Nuts and bolts 16x160 mm</t>
  </si>
  <si>
    <r>
      <t>Cement for Concreting of  foundation of 33 kV VCB (1:3:6) =</t>
    </r>
    <r>
      <rPr>
        <b/>
        <sz val="10"/>
        <rFont val="Arial"/>
        <family val="2"/>
      </rPr>
      <t>7 cmt.</t>
    </r>
  </si>
  <si>
    <t>PCC supports 140 Kg; 8.0 Mtr. for 11 kV Bus</t>
  </si>
  <si>
    <t>MS Channel 5.2 Mtr. long</t>
  </si>
  <si>
    <t>11 kV AB Switch complete</t>
  </si>
  <si>
    <t>11 kV Strain set with hardware</t>
  </si>
  <si>
    <t>11 kV  Hardware</t>
  </si>
  <si>
    <t>ACSR Conductor 80 Sqmm Al. Eq. Raccoon Conductor</t>
  </si>
  <si>
    <t xml:space="preserve">T-clamps for Raccoon Conductor </t>
  </si>
  <si>
    <t>M.S. Flat 50x6 mm</t>
  </si>
  <si>
    <t xml:space="preserve">Earthing of Sub-station </t>
  </si>
  <si>
    <t xml:space="preserve">(i) G.I. Pipe of 40 mm dia. 3.04 Mtr. long with 12 mm hole at 18 places at equal distance trapered casing at lower end.  </t>
  </si>
  <si>
    <t>(iii) G.I. Wire 8 SWG</t>
  </si>
  <si>
    <t>(iv) G.I. Nuts and bolts 16x40 mm</t>
  </si>
  <si>
    <t>(vi) G.I. Spring washers</t>
  </si>
  <si>
    <t>Total of 02 : -</t>
  </si>
  <si>
    <t>Services On Earthing of sub-station.</t>
  </si>
  <si>
    <t>Labour charges as per Schedule No BL-9</t>
  </si>
  <si>
    <r>
      <t xml:space="preserve">Total cost including </t>
    </r>
    <r>
      <rPr>
        <b/>
        <sz val="10"/>
        <rFont val="Arial"/>
        <family val="2"/>
      </rPr>
      <t>Civil Works</t>
    </r>
    <r>
      <rPr>
        <sz val="10"/>
        <rFont val="Arial"/>
        <family val="0"/>
      </rPr>
      <t>.</t>
    </r>
  </si>
  <si>
    <t>Total Cost (Round off) : -</t>
  </si>
  <si>
    <t>T.W. Meter Board, 300x300x75 mm, coated with varnish/SMC board</t>
  </si>
  <si>
    <t>Roll</t>
  </si>
  <si>
    <t>T.W. plate 300x300x25 mm with 20 mm dia holes at the corners and coated with two coats of varnish on one side/SMC board</t>
  </si>
  <si>
    <t>Tension hardware suitable for Panther Conductor.</t>
  </si>
  <si>
    <t>For 90 x 75 mm insulators</t>
  </si>
  <si>
    <t>For 65 x 50 mm insulators</t>
  </si>
  <si>
    <t>GI Pin for 11 kV Pin insulator.</t>
  </si>
  <si>
    <t>GI Pin for 33 kV Pin insulator.</t>
  </si>
  <si>
    <t>Installation of 33 kV VCB</t>
  </si>
  <si>
    <t>B-6</t>
  </si>
  <si>
    <t>Installation of single phase A.B. Switch on existing feeder outlet DP from 33/11 kV S/s</t>
  </si>
  <si>
    <t>B-7</t>
  </si>
  <si>
    <t>Augmentation of Power Transformer</t>
  </si>
  <si>
    <t>B-8(i)</t>
  </si>
  <si>
    <t>B-8(ii)</t>
  </si>
  <si>
    <t>B-8(iii)</t>
  </si>
  <si>
    <t>Installation of 1.6 MVA 33/11 kV Sub-Station ON LINE</t>
  </si>
  <si>
    <t>B-9</t>
  </si>
  <si>
    <t>PART-III, 11 kV LINES AND  D.P.STRUCTURES</t>
  </si>
  <si>
    <t xml:space="preserve">11 kV line on 140 Kg 8.0 Mtr long PCC poles with </t>
  </si>
  <si>
    <t>Rabbit conductor</t>
  </si>
  <si>
    <t>C-1(I)</t>
  </si>
  <si>
    <t>Weasel conductor</t>
  </si>
  <si>
    <t>C-1(II)</t>
  </si>
  <si>
    <t>11 kV DP structure on 140 Kg, 8.0 Mtr long PCC poles</t>
  </si>
  <si>
    <t>C-2</t>
  </si>
  <si>
    <t>PART-IV, 11 kV LINES AND  D.P.STRUCTURES ON RAIL &amp; H-BEAM</t>
  </si>
  <si>
    <t xml:space="preserve">On H-Beam 11 meter long  </t>
  </si>
  <si>
    <t>Additional (Mid span) Poles for 11 kV Line on H-Beam</t>
  </si>
  <si>
    <t>C-3 (A)</t>
  </si>
  <si>
    <t>C-3 (B)</t>
  </si>
  <si>
    <t>Augmentation of 11 kV Line from Weasel to Raccoon Conductor</t>
  </si>
  <si>
    <t>C-3 (C)</t>
  </si>
  <si>
    <t>Augmentation of 11 kV Line from Weasel to Rabbit Conductor</t>
  </si>
  <si>
    <t>C-3 (D)</t>
  </si>
  <si>
    <t>11 kV Overhead XLPE Cable Line on H-Beam Pole with average span 30 Mtrs.</t>
  </si>
  <si>
    <t>C-3 (E)</t>
  </si>
  <si>
    <t xml:space="preserve">11 kV DP structure on  </t>
  </si>
  <si>
    <t>H-Beam 11 meter long</t>
  </si>
  <si>
    <t>11 kV line on RS Joist (175X85 mm) 11.0 Meters long  with</t>
  </si>
  <si>
    <t>C-5(I)</t>
  </si>
  <si>
    <t xml:space="preserve"> Weasel conductor</t>
  </si>
  <si>
    <t>C-5(II)</t>
  </si>
  <si>
    <t>C-6</t>
  </si>
  <si>
    <t>C-8(I)</t>
  </si>
  <si>
    <t>C-8(II)</t>
  </si>
  <si>
    <t xml:space="preserve">11 kV line on H-Beam (152x152 mm) 13 meter long with </t>
  </si>
  <si>
    <t>Raccoon conductor</t>
  </si>
  <si>
    <t>C-9(I)</t>
  </si>
  <si>
    <t>C-9(II)</t>
  </si>
  <si>
    <t>Locally fabricated - 3 Phase fuse units (Robust fuse for circuit base).</t>
  </si>
  <si>
    <r>
      <t>11 kV Kiosk VCB</t>
    </r>
    <r>
      <rPr>
        <sz val="10"/>
        <rFont val="Verdana"/>
        <family val="2"/>
      </rPr>
      <t xml:space="preserve"> </t>
    </r>
  </si>
  <si>
    <r>
      <t>11 kV VCB</t>
    </r>
    <r>
      <rPr>
        <sz val="10"/>
        <rFont val="Verdana"/>
        <family val="2"/>
      </rPr>
      <t xml:space="preserve"> without control panel &amp; CT's.</t>
    </r>
  </si>
  <si>
    <t>Feeder Control (Static Relays)</t>
  </si>
  <si>
    <t>Transformer Control (Static Relays)</t>
  </si>
  <si>
    <t>2 Feeder Control (Static Relays)</t>
  </si>
  <si>
    <t>1 Transformer+1 Feeder (Static Relays)</t>
  </si>
  <si>
    <t>Meter modernisation- Replacing the existing meters with electronic meters which are highly capable of improving billing efficiency.</t>
  </si>
  <si>
    <t>(2) In case of non-availability of H-Beam for structure double welded RS Joist may be used and cost should be taken on actual material used</t>
  </si>
  <si>
    <t>COST SCHEDULE B-4</t>
  </si>
  <si>
    <t>Grounding Sticks (Earthing Rods)</t>
  </si>
  <si>
    <t>Panel lndication lamps</t>
  </si>
  <si>
    <t>COST SCHEDULE   A-9</t>
  </si>
  <si>
    <t xml:space="preserve">SCHEDULE FOR  LAST SPAN CABLING OF 33 kV LINE USING COVERED CONDUCTOR OF 70 &amp; 99 SQ.MM SIZE </t>
  </si>
  <si>
    <t>33 kV Covered conductor 70 sq.mm (207 Amp) (with 3% sag)</t>
  </si>
  <si>
    <t>33 kV Covered conductor 99 sq.mm (258 Amp) (with 3% sag)</t>
  </si>
  <si>
    <t>70 sq.mm Covered Conductor</t>
  </si>
  <si>
    <t>99 sq.mm Covered Conductor</t>
  </si>
  <si>
    <t>CFL 15 Watts</t>
  </si>
  <si>
    <t>CFL 20 Watts</t>
  </si>
  <si>
    <t>CFL 23 Watts</t>
  </si>
  <si>
    <t xml:space="preserve">125 Watt Mercury Vapour </t>
  </si>
  <si>
    <t xml:space="preserve">250 Watt Mercury Vapour </t>
  </si>
  <si>
    <t xml:space="preserve">250 Watt Metal Halide  </t>
  </si>
  <si>
    <t xml:space="preserve">250 Watt Sodium Vapour </t>
  </si>
  <si>
    <t>Halogen Filament (1000 Watts)</t>
  </si>
  <si>
    <t>Tube Light Rod (T5 type)</t>
  </si>
  <si>
    <t>Search Light Unit with 1000 Watt Halogen Lamp.</t>
  </si>
  <si>
    <t xml:space="preserve">Street Light fitting with tube light </t>
  </si>
  <si>
    <t>Street Light fitting with CFL</t>
  </si>
  <si>
    <t>HPSV lamp 150 watt</t>
  </si>
  <si>
    <t>HPSV Choke 250 watt</t>
  </si>
  <si>
    <t>150 Watt metal halide fitting / HPSV fitting</t>
  </si>
  <si>
    <t>250 Watt metal halide fitting / HPSV fitting</t>
  </si>
  <si>
    <t>Mercury vapour lamp for Gate lighting 2 Nos</t>
  </si>
  <si>
    <t>Aluminium binding wire and tape.</t>
  </si>
  <si>
    <t>Aluminium bobbin.</t>
  </si>
  <si>
    <t>Three Phase, 10-60 Amps. with poly carbonate Meter Box</t>
  </si>
  <si>
    <t>Three Phase, 20-100 Amps. with Meter Box with data storage.</t>
  </si>
  <si>
    <t>CT operated electronic static meters 100/5 Amp. With data storage.</t>
  </si>
  <si>
    <t>CT operated electronic static meters with DLMS.</t>
  </si>
  <si>
    <t>CT operated electronic static meters with AMR (Composite Unit).</t>
  </si>
  <si>
    <t>33 kV Single Phase PT</t>
  </si>
  <si>
    <t>11 kV Single Phase PT</t>
  </si>
  <si>
    <t>ACSR Dog conductor</t>
  </si>
  <si>
    <t>11 kV Polymeric Pin Insulator with Pin</t>
  </si>
  <si>
    <t xml:space="preserve">33 kV Polymeric Pin Insulator with Pin </t>
  </si>
  <si>
    <t>(i) 33 kV Polymer Disc insulator .</t>
  </si>
  <si>
    <r>
      <t xml:space="preserve">T-clamp for jumper connection with AB Switches &amp; DO fuses / Isolator. </t>
    </r>
    <r>
      <rPr>
        <sz val="14"/>
        <rFont val="Arial"/>
        <family val="2"/>
      </rPr>
      <t xml:space="preserve"> </t>
    </r>
  </si>
  <si>
    <t xml:space="preserve">(i) 11 kV Polymer Disc insulator </t>
  </si>
  <si>
    <r>
      <t>Cement for Concreting of  foundation of 11 kV VCB (1:3:6) =</t>
    </r>
    <r>
      <rPr>
        <b/>
        <sz val="10"/>
        <rFont val="Arial"/>
        <family val="2"/>
      </rPr>
      <t>12 cmt.</t>
    </r>
  </si>
  <si>
    <t>3x185 sq.mm AB XLPE Cable</t>
  </si>
  <si>
    <t>3x240 sq.mm AB XLPE Cable</t>
  </si>
  <si>
    <r>
      <t xml:space="preserve">33 kV Termination Kit for 3x185 sqmm AB XLPE Cable  </t>
    </r>
    <r>
      <rPr>
        <sz val="14"/>
        <rFont val="Arial"/>
        <family val="2"/>
      </rPr>
      <t>*</t>
    </r>
  </si>
  <si>
    <t>D-5(II)</t>
  </si>
  <si>
    <t>D-5(III)</t>
  </si>
  <si>
    <t>3 phase  line on 140 Kg, 8.0 Mtr long PCC poles with following XLPE Cable</t>
  </si>
  <si>
    <t>Using 1100 Volt grade AB Cable 3x50+1x25+1x35</t>
  </si>
  <si>
    <t>D-6 [1] (i)</t>
  </si>
  <si>
    <t>D-6 [1] (ii)</t>
  </si>
  <si>
    <t>3 phase line on RS Joist 175x85 mm ,19.495 Kg/Mtr, 9.3 Mtr long poles with following XLPE Cable</t>
  </si>
  <si>
    <t>D-6 [1] (iii)</t>
  </si>
  <si>
    <t>D-6 [1] (iv)</t>
  </si>
  <si>
    <t>D-6 [1] (v)</t>
  </si>
  <si>
    <t>D-6 [1] (vi)</t>
  </si>
  <si>
    <t>(H )</t>
  </si>
  <si>
    <t>D-6 [2] (i)</t>
  </si>
  <si>
    <t>Using 1100 Volt grade AB Cable 3x70+1x16+1x50</t>
  </si>
  <si>
    <t>D-6 [2] (ii)</t>
  </si>
  <si>
    <t>D-6 [2] (iii)</t>
  </si>
  <si>
    <t>3 phase line on H-Beam 152x152 mm, 37.1 Kg/Mtr, 9.0 Mtr long poles with following XLPE Cable</t>
  </si>
  <si>
    <t>1 phase 3 Wire line on 140 kg 8.0 Mtr.long PCC poles with 1100 V grade AB XLPE Cable 1x25+1x16+1x25 sq.mm.</t>
  </si>
  <si>
    <t xml:space="preserve">D-6 [3] </t>
  </si>
  <si>
    <t>3 phase 4 Wire line on 140 kg 8.0 Mtr.long PCC poles with 1100 V grade AB XLPE Cable 3x16+1x25 sq.mm.</t>
  </si>
  <si>
    <t xml:space="preserve">D-6 [4] </t>
  </si>
  <si>
    <t>3 phase 5 Wire L.T. Line on R.S.Joist (175x85) mm, 9.3 Mtr. Long (By replacement of existing bare LT conductor) for Urban area using AB XLPE Cable of size</t>
  </si>
  <si>
    <t>1100 Volt grade AB Cable 3x50+1x25+1x35</t>
  </si>
  <si>
    <t>D-6(A) (i)</t>
  </si>
  <si>
    <t>Additional pole of R.S. Joist (125x70) mm (Mid span) for L.T.Line with A.B.Cable.</t>
  </si>
  <si>
    <t>D-6(B)</t>
  </si>
  <si>
    <t>HVDS system of 200 kVA parent DTR taking 4 KM LT to be converted</t>
  </si>
  <si>
    <t>D-7</t>
  </si>
  <si>
    <t>4 Km</t>
  </si>
  <si>
    <t>HVDS system of 100 kVA parent DTR taking 3 KM LT to be converted</t>
  </si>
  <si>
    <t>D-8</t>
  </si>
  <si>
    <t>3Km</t>
  </si>
  <si>
    <t>HVDS system of 63 kVA parent DTR taking 2 KM LT to be converted</t>
  </si>
  <si>
    <t>D-9</t>
  </si>
  <si>
    <t>2Km</t>
  </si>
  <si>
    <t>Conversion of 1 Km LT line into 11 kV line</t>
  </si>
  <si>
    <t>D-10</t>
  </si>
  <si>
    <t>Qty.</t>
  </si>
  <si>
    <t>HDPE Pipe 200 mm ID; 240 mm OD</t>
  </si>
  <si>
    <t xml:space="preserve">Jointing arrangement of HDPE Pipe </t>
  </si>
  <si>
    <t>GI pipe 200 mm for 400 sqmm cable of dia 105 mm</t>
  </si>
  <si>
    <t>Caping of HDPE Pipe on both end of pipe with Concreting and Bricks work</t>
  </si>
  <si>
    <t>Jointing arrangement of HDPE Pipe</t>
  </si>
  <si>
    <t>G.I. Pipe 200 mm for 400 mm cable of dia 105 mm</t>
  </si>
  <si>
    <t>Caping of HDPE Pipe on both end of pipe with concreting and bricks work.</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</si>
</sst>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quot;&quot;#,##0_);\(&quot;&quot;\`&quot;&quot;#,##0\)"/>
    <numFmt numFmtId="173" formatCode="&quot;&quot;\`&quot;&quot;#,##0_);[Red]\(&quot;&quot;\`&quot;&quot;#,##0\)"/>
    <numFmt numFmtId="174" formatCode="&quot;&quot;\`&quot;&quot;#,##0.00_);\(&quot;&quot;\`&quot;&quot;#,##0.00\)"/>
    <numFmt numFmtId="175" formatCode="&quot;&quot;\`&quot;&quot;#,##0.00_);[Red]\(&quot;&quot;\`&quot;&quot;#,##0.00\)"/>
    <numFmt numFmtId="176" formatCode="_(&quot;&quot;\`&quot;&quot;* #,##0_);_(&quot;&quot;\`&quot;&quot;* \(#,##0\);_(&quot;&quot;\`&quot;&quot;* &quot;-&quot;_);_(@_)"/>
    <numFmt numFmtId="177" formatCode="_(&quot;&quot;\`&quot;&quot;* #,##0.00_);_(&quot;&quot;\`&quot;&quot;* \(#,##0.00\);_(&quot;&quot;\`&quot;&quot;* &quot;-&quot;??_);_(@_)"/>
    <numFmt numFmtId="178" formatCode="&quot;Rs.&quot;\ #,##0_);\(&quot;Rs.&quot;\ #,##0\)"/>
    <numFmt numFmtId="179" formatCode="&quot;Rs.&quot;\ #,##0_);[Red]\(&quot;Rs.&quot;\ #,##0\)"/>
    <numFmt numFmtId="180" formatCode="&quot;Rs.&quot;\ #,##0.00_);\(&quot;Rs.&quot;\ #,##0.00\)"/>
    <numFmt numFmtId="181" formatCode="&quot;Rs.&quot;\ #,##0.00_);[Red]\(&quot;Rs.&quot;\ #,##0.00\)"/>
    <numFmt numFmtId="182" formatCode="_(&quot;Rs.&quot;\ * #,##0_);_(&quot;Rs.&quot;\ * \(#,##0\);_(&quot;Rs.&quot;\ * &quot;-&quot;_);_(@_)"/>
    <numFmt numFmtId="183" formatCode="_(&quot;Rs.&quot;\ * #,##0.00_);_(&quot;Rs.&quot;\ * \(#,##0.00\);_(&quot;Rs.&quot;\ * &quot;-&quot;??_);_(@_)"/>
    <numFmt numFmtId="184" formatCode="0.000"/>
    <numFmt numFmtId="185" formatCode="0.000000"/>
    <numFmt numFmtId="186" formatCode="0.0000000"/>
    <numFmt numFmtId="187" formatCode="0.00000"/>
    <numFmt numFmtId="188" formatCode="0.0000"/>
    <numFmt numFmtId="189" formatCode="0.0%"/>
    <numFmt numFmtId="190" formatCode="0.0"/>
    <numFmt numFmtId="191" formatCode="#,##0.0"/>
    <numFmt numFmtId="192" formatCode="00000"/>
    <numFmt numFmtId="193" formatCode="0.00;[Red]0.00"/>
    <numFmt numFmtId="194" formatCode="0.000000000"/>
    <numFmt numFmtId="195" formatCode="&quot;Yes&quot;;&quot;Yes&quot;;&quot;No&quot;"/>
    <numFmt numFmtId="196" formatCode="&quot;True&quot;;&quot;True&quot;;&quot;False&quot;"/>
    <numFmt numFmtId="197" formatCode="&quot;On&quot;;&quot;On&quot;;&quot;Off&quot;"/>
    <numFmt numFmtId="198" formatCode="[$€-2]\ #,##0.00_);[Red]\([$€-2]\ #,##0.00\)"/>
  </numFmts>
  <fonts count="103">
    <font>
      <sz val="10"/>
      <name val="Arial"/>
      <family val="0"/>
    </font>
    <font>
      <b/>
      <sz val="10"/>
      <name val="Arial"/>
      <family val="2"/>
    </font>
    <font>
      <b/>
      <sz val="11"/>
      <name val="Arial"/>
      <family val="2"/>
    </font>
    <font>
      <u val="single"/>
      <sz val="10"/>
      <color indexed="12"/>
      <name val="Arial"/>
      <family val="0"/>
    </font>
    <font>
      <u val="single"/>
      <sz val="10"/>
      <color indexed="36"/>
      <name val="Arial"/>
      <family val="0"/>
    </font>
    <font>
      <b/>
      <sz val="12"/>
      <name val="Arial"/>
      <family val="2"/>
    </font>
    <font>
      <sz val="12"/>
      <name val="Arial"/>
      <family val="0"/>
    </font>
    <font>
      <sz val="14"/>
      <name val="Arial"/>
      <family val="2"/>
    </font>
    <font>
      <sz val="8"/>
      <name val="Arial"/>
      <family val="0"/>
    </font>
    <font>
      <sz val="18"/>
      <name val="Arial"/>
      <family val="2"/>
    </font>
    <font>
      <sz val="12"/>
      <color indexed="8"/>
      <name val="Arial"/>
      <family val="2"/>
    </font>
    <font>
      <b/>
      <sz val="14"/>
      <name val="Arial"/>
      <family val="2"/>
    </font>
    <font>
      <sz val="10"/>
      <color indexed="8"/>
      <name val="Arial"/>
      <family val="0"/>
    </font>
    <font>
      <b/>
      <sz val="14"/>
      <name val="Copperplate Gothic Bold"/>
      <family val="2"/>
    </font>
    <font>
      <sz val="11"/>
      <name val="Calibri"/>
      <family val="2"/>
    </font>
    <font>
      <sz val="12"/>
      <name val="Rupee"/>
      <family val="0"/>
    </font>
    <font>
      <b/>
      <sz val="16"/>
      <name val="Arial"/>
      <family val="2"/>
    </font>
    <font>
      <sz val="11"/>
      <name val="Arial"/>
      <family val="2"/>
    </font>
    <font>
      <b/>
      <i/>
      <sz val="12"/>
      <name val="Arial"/>
      <family val="2"/>
    </font>
    <font>
      <b/>
      <sz val="12"/>
      <color indexed="10"/>
      <name val="Arial"/>
      <family val="2"/>
    </font>
    <font>
      <b/>
      <sz val="11"/>
      <name val="Calibri"/>
      <family val="2"/>
    </font>
    <font>
      <b/>
      <sz val="18"/>
      <name val="Arial"/>
      <family val="2"/>
    </font>
    <font>
      <sz val="10.5"/>
      <name val="Arial"/>
      <family val="2"/>
    </font>
    <font>
      <sz val="10"/>
      <name val="Calibri"/>
      <family val="2"/>
    </font>
    <font>
      <b/>
      <sz val="10"/>
      <name val="Calibri"/>
      <family val="2"/>
    </font>
    <font>
      <b/>
      <u val="single"/>
      <sz val="12"/>
      <color indexed="10"/>
      <name val="Arial"/>
      <family val="2"/>
    </font>
    <font>
      <b/>
      <sz val="12"/>
      <color indexed="12"/>
      <name val="Arial"/>
      <family val="2"/>
    </font>
    <font>
      <sz val="16"/>
      <name val="Arial"/>
      <family val="0"/>
    </font>
    <font>
      <b/>
      <u val="single"/>
      <sz val="14"/>
      <name val="Arial"/>
      <family val="2"/>
    </font>
    <font>
      <b/>
      <sz val="16"/>
      <name val="Calibri"/>
      <family val="2"/>
    </font>
    <font>
      <b/>
      <u val="single"/>
      <sz val="12"/>
      <name val="Arial"/>
      <family val="2"/>
    </font>
    <font>
      <sz val="11.5"/>
      <name val="Arial"/>
      <family val="2"/>
    </font>
    <font>
      <sz val="11"/>
      <color indexed="8"/>
      <name val="Arial"/>
      <family val="2"/>
    </font>
    <font>
      <b/>
      <u val="single"/>
      <sz val="11"/>
      <name val="Arial"/>
      <family val="2"/>
    </font>
    <font>
      <u val="single"/>
      <sz val="10"/>
      <name val="Arial"/>
      <family val="2"/>
    </font>
    <font>
      <b/>
      <sz val="10"/>
      <name val="Verdana"/>
      <family val="2"/>
    </font>
    <font>
      <vertAlign val="subscript"/>
      <sz val="11"/>
      <name val="Arial"/>
      <family val="2"/>
    </font>
    <font>
      <sz val="14"/>
      <name val="Rupee"/>
      <family val="0"/>
    </font>
    <font>
      <b/>
      <u val="single"/>
      <sz val="16"/>
      <name val="Arial"/>
      <family val="2"/>
    </font>
    <font>
      <b/>
      <sz val="10.5"/>
      <name val="Arial"/>
      <family val="0"/>
    </font>
    <font>
      <b/>
      <sz val="11"/>
      <name val="Copperplate Gothic Bold"/>
      <family val="0"/>
    </font>
    <font>
      <b/>
      <sz val="9"/>
      <name val="Arial"/>
      <family val="2"/>
    </font>
    <font>
      <b/>
      <u val="single"/>
      <sz val="10"/>
      <name val="Arial"/>
      <family val="2"/>
    </font>
    <font>
      <sz val="10"/>
      <color indexed="10"/>
      <name val="Arial"/>
      <family val="2"/>
    </font>
    <font>
      <b/>
      <sz val="11.5"/>
      <name val="Arial"/>
      <family val="2"/>
    </font>
    <font>
      <sz val="10"/>
      <name val="Verdana"/>
      <family val="2"/>
    </font>
    <font>
      <sz val="11"/>
      <color indexed="8"/>
      <name val="Calibri"/>
      <family val="2"/>
    </font>
    <font>
      <sz val="13"/>
      <name val="Arial"/>
      <family val="2"/>
    </font>
    <font>
      <b/>
      <sz val="13"/>
      <name val="Arial"/>
      <family val="2"/>
    </font>
    <font>
      <sz val="11"/>
      <name val="Times New Roman"/>
      <family val="1"/>
    </font>
    <font>
      <b/>
      <sz val="20"/>
      <name val="Arial"/>
      <family val="2"/>
    </font>
    <font>
      <b/>
      <sz val="14"/>
      <name val="Calibri"/>
      <family val="2"/>
    </font>
    <font>
      <b/>
      <sz val="28"/>
      <name val="Arial"/>
      <family val="2"/>
    </font>
    <font>
      <sz val="10"/>
      <color indexed="10"/>
      <name val="Verdana"/>
      <family val="2"/>
    </font>
    <font>
      <sz val="10"/>
      <color indexed="8"/>
      <name val="Verdana"/>
      <family val="2"/>
    </font>
    <font>
      <vertAlign val="subscript"/>
      <sz val="10"/>
      <name val="Verdana"/>
      <family val="2"/>
    </font>
    <font>
      <sz val="14"/>
      <color indexed="10"/>
      <name val="Arial"/>
      <family val="2"/>
    </font>
    <font>
      <sz val="12"/>
      <color indexed="10"/>
      <name val="Arial"/>
      <family val="2"/>
    </font>
    <font>
      <sz val="10"/>
      <color indexed="9"/>
      <name val="Verdana"/>
      <family val="2"/>
    </font>
    <font>
      <b/>
      <sz val="10"/>
      <color indexed="9"/>
      <name val="Verdana"/>
      <family val="2"/>
    </font>
    <font>
      <b/>
      <sz val="8"/>
      <color indexed="9"/>
      <name val="Verdana"/>
      <family val="2"/>
    </font>
    <font>
      <sz val="10"/>
      <color indexed="9"/>
      <name val="Arial"/>
      <family val="0"/>
    </font>
    <font>
      <sz val="9"/>
      <name val="Arial"/>
      <family val="0"/>
    </font>
    <font>
      <sz val="11.5"/>
      <color indexed="8"/>
      <name val="Arial"/>
      <family val="2"/>
    </font>
    <font>
      <sz val="10"/>
      <color indexed="15"/>
      <name val="Arial"/>
      <family val="0"/>
    </font>
    <font>
      <sz val="13.5"/>
      <name val="Arial"/>
      <family val="2"/>
    </font>
    <font>
      <b/>
      <u val="single"/>
      <sz val="13"/>
      <name val="Arial"/>
      <family val="2"/>
    </font>
    <font>
      <sz val="11"/>
      <color indexed="9"/>
      <name val="Arial"/>
      <family val="0"/>
    </font>
    <font>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4"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3"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46"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0"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cellStyleXfs>
  <cellXfs count="1489">
    <xf numFmtId="0" fontId="0" fillId="0" borderId="0" xfId="0" applyAlignment="1">
      <alignment/>
    </xf>
    <xf numFmtId="49" fontId="0" fillId="0" borderId="0" xfId="0" applyNumberFormat="1" applyFill="1" applyAlignment="1">
      <alignment wrapText="1"/>
    </xf>
    <xf numFmtId="0" fontId="0" fillId="0" borderId="0" xfId="0" applyFill="1" applyAlignment="1">
      <alignment/>
    </xf>
    <xf numFmtId="49"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49" fontId="6" fillId="0" borderId="0" xfId="0" applyNumberFormat="1" applyFont="1" applyFill="1" applyBorder="1" applyAlignment="1">
      <alignment wrapText="1"/>
    </xf>
    <xf numFmtId="49" fontId="6" fillId="0" borderId="0" xfId="0" applyNumberFormat="1" applyFont="1" applyFill="1" applyBorder="1" applyAlignment="1">
      <alignment horizontal="center" wrapText="1"/>
    </xf>
    <xf numFmtId="2" fontId="6" fillId="0" borderId="0" xfId="0" applyNumberFormat="1" applyFont="1" applyFill="1" applyBorder="1" applyAlignment="1">
      <alignment horizontal="right" wrapText="1"/>
    </xf>
    <xf numFmtId="2" fontId="5" fillId="0" borderId="0" xfId="0" applyNumberFormat="1" applyFont="1" applyFill="1" applyBorder="1" applyAlignment="1">
      <alignment horizontal="right" wrapText="1"/>
    </xf>
    <xf numFmtId="49" fontId="0" fillId="0" borderId="0" xfId="0" applyNumberFormat="1" applyFill="1" applyAlignment="1">
      <alignment horizontal="center" wrapText="1"/>
    </xf>
    <xf numFmtId="2" fontId="0" fillId="0" borderId="0" xfId="0" applyNumberFormat="1" applyFill="1" applyAlignment="1">
      <alignment horizontal="right" wrapText="1"/>
    </xf>
    <xf numFmtId="0" fontId="6" fillId="0" borderId="0" xfId="0" applyFont="1" applyFill="1" applyAlignment="1">
      <alignment/>
    </xf>
    <xf numFmtId="0" fontId="6" fillId="0" borderId="0" xfId="0" applyFont="1" applyFill="1" applyAlignment="1">
      <alignment/>
    </xf>
    <xf numFmtId="0" fontId="6" fillId="0" borderId="0" xfId="0" applyNumberFormat="1" applyFont="1" applyFill="1" applyAlignment="1">
      <alignment/>
    </xf>
    <xf numFmtId="0" fontId="6" fillId="0" borderId="0" xfId="0" applyFont="1" applyFill="1" applyAlignment="1">
      <alignment horizontal="center"/>
    </xf>
    <xf numFmtId="2" fontId="6" fillId="0" borderId="0" xfId="0" applyNumberFormat="1" applyFont="1" applyFill="1" applyAlignment="1">
      <alignment horizontal="center"/>
    </xf>
    <xf numFmtId="0" fontId="0" fillId="0" borderId="0" xfId="0" applyNumberFormat="1" applyFill="1" applyAlignment="1">
      <alignment/>
    </xf>
    <xf numFmtId="0" fontId="6" fillId="0" borderId="10" xfId="0" applyNumberFormat="1" applyFont="1" applyFill="1" applyBorder="1" applyAlignment="1">
      <alignment horizontal="center" vertical="center" wrapText="1"/>
    </xf>
    <xf numFmtId="0" fontId="11" fillId="0" borderId="0" xfId="0" applyFont="1" applyFill="1" applyAlignment="1">
      <alignment vertical="top"/>
    </xf>
    <xf numFmtId="0" fontId="11" fillId="0" borderId="0" xfId="0" applyFont="1" applyFill="1" applyBorder="1" applyAlignment="1">
      <alignment horizontal="center" vertical="top"/>
    </xf>
    <xf numFmtId="0" fontId="0" fillId="0" borderId="0" xfId="0" applyFill="1" applyBorder="1" applyAlignment="1">
      <alignment horizontal="center" vertical="top"/>
    </xf>
    <xf numFmtId="0" fontId="5" fillId="0" borderId="0" xfId="0" applyFont="1" applyFill="1" applyBorder="1" applyAlignment="1">
      <alignment horizontal="center" vertical="top"/>
    </xf>
    <xf numFmtId="49" fontId="0" fillId="0" borderId="0" xfId="61" applyNumberFormat="1" applyFill="1" applyAlignment="1">
      <alignment wrapText="1"/>
      <protection/>
    </xf>
    <xf numFmtId="0" fontId="0" fillId="0" borderId="0" xfId="61" applyNumberFormat="1" applyFill="1" applyAlignment="1">
      <alignment wrapText="1"/>
      <protection/>
    </xf>
    <xf numFmtId="49" fontId="0" fillId="0" borderId="0" xfId="61" applyNumberFormat="1" applyFill="1" applyAlignment="1">
      <alignment horizontal="center" wrapText="1"/>
      <protection/>
    </xf>
    <xf numFmtId="2" fontId="0" fillId="0" borderId="0" xfId="61" applyNumberFormat="1" applyFill="1" applyAlignment="1">
      <alignment horizontal="right" wrapText="1"/>
      <protection/>
    </xf>
    <xf numFmtId="2" fontId="17" fillId="0" borderId="0" xfId="61" applyNumberFormat="1" applyFont="1" applyFill="1" applyAlignment="1">
      <alignment horizontal="right" wrapText="1"/>
      <protection/>
    </xf>
    <xf numFmtId="49" fontId="16" fillId="0" borderId="0" xfId="61" applyNumberFormat="1" applyFont="1" applyFill="1" applyBorder="1" applyAlignment="1">
      <alignment wrapText="1"/>
      <protection/>
    </xf>
    <xf numFmtId="0" fontId="5" fillId="0" borderId="10" xfId="0" applyFont="1" applyFill="1" applyBorder="1" applyAlignment="1">
      <alignment horizontal="center" vertical="center" wrapText="1"/>
    </xf>
    <xf numFmtId="0" fontId="16" fillId="0" borderId="0" xfId="0" applyFont="1" applyFill="1" applyAlignment="1">
      <alignment/>
    </xf>
    <xf numFmtId="0" fontId="16" fillId="0" borderId="0" xfId="0" applyFont="1" applyFill="1" applyAlignment="1">
      <alignment horizont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5" fillId="0" borderId="10" xfId="0" applyFont="1" applyFill="1" applyBorder="1" applyAlignment="1">
      <alignment horizontal="center" vertical="center"/>
    </xf>
    <xf numFmtId="0" fontId="17" fillId="0" borderId="0" xfId="0" applyFont="1" applyFill="1" applyAlignment="1">
      <alignment/>
    </xf>
    <xf numFmtId="0" fontId="2" fillId="0" borderId="0" xfId="0" applyFont="1" applyFill="1" applyAlignment="1">
      <alignment horizontal="center"/>
    </xf>
    <xf numFmtId="0" fontId="5" fillId="0" borderId="0" xfId="0" applyFont="1" applyFill="1" applyBorder="1" applyAlignment="1">
      <alignment vertical="top"/>
    </xf>
    <xf numFmtId="49" fontId="16" fillId="0" borderId="0" xfId="61" applyNumberFormat="1" applyFont="1" applyFill="1" applyAlignment="1">
      <alignment wrapText="1"/>
      <protection/>
    </xf>
    <xf numFmtId="49" fontId="16" fillId="0" borderId="0" xfId="61" applyNumberFormat="1" applyFont="1" applyFill="1" applyAlignment="1">
      <alignment horizontal="center" wrapText="1"/>
      <protection/>
    </xf>
    <xf numFmtId="49" fontId="5" fillId="0" borderId="0" xfId="61" applyNumberFormat="1" applyFont="1" applyFill="1" applyAlignment="1">
      <alignment horizontal="center" vertical="center" wrapText="1"/>
      <protection/>
    </xf>
    <xf numFmtId="49" fontId="1" fillId="0" borderId="0" xfId="61" applyNumberFormat="1" applyFont="1" applyFill="1" applyAlignment="1">
      <alignment wrapText="1"/>
      <protection/>
    </xf>
    <xf numFmtId="49" fontId="0" fillId="0" borderId="0" xfId="61" applyNumberFormat="1" applyFont="1" applyFill="1" applyAlignment="1">
      <alignment wrapText="1"/>
      <protection/>
    </xf>
    <xf numFmtId="0" fontId="5"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1" xfId="0" applyFont="1" applyFill="1" applyBorder="1" applyAlignment="1">
      <alignment horizontal="center" vertical="center" wrapText="1"/>
    </xf>
    <xf numFmtId="0" fontId="14" fillId="0" borderId="0" xfId="0" applyFont="1" applyFill="1" applyAlignment="1">
      <alignment/>
    </xf>
    <xf numFmtId="0" fontId="11" fillId="0" borderId="0" xfId="0" applyFont="1" applyFill="1" applyBorder="1" applyAlignment="1">
      <alignment vertical="center"/>
    </xf>
    <xf numFmtId="49" fontId="11" fillId="0" borderId="0" xfId="61" applyNumberFormat="1" applyFont="1" applyFill="1" applyAlignment="1">
      <alignment wrapText="1"/>
      <protection/>
    </xf>
    <xf numFmtId="49" fontId="11" fillId="0" borderId="0" xfId="61" applyNumberFormat="1" applyFont="1" applyFill="1" applyAlignment="1">
      <alignment horizontal="center" wrapText="1"/>
      <protection/>
    </xf>
    <xf numFmtId="2" fontId="6"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49" fontId="0" fillId="0" borderId="0" xfId="0" applyNumberFormat="1" applyFont="1" applyFill="1" applyAlignment="1">
      <alignment vertical="top" wrapText="1"/>
    </xf>
    <xf numFmtId="0" fontId="0" fillId="0" borderId="0" xfId="0" applyFill="1" applyAlignment="1">
      <alignment vertical="top" wrapText="1"/>
    </xf>
    <xf numFmtId="0" fontId="0" fillId="0" borderId="0" xfId="0" applyFont="1" applyFill="1" applyAlignment="1">
      <alignment/>
    </xf>
    <xf numFmtId="0" fontId="5" fillId="0" borderId="0" xfId="0" applyFont="1" applyFill="1" applyAlignment="1">
      <alignment horizontal="left"/>
    </xf>
    <xf numFmtId="0" fontId="6" fillId="0" borderId="0" xfId="0" applyFont="1" applyFill="1" applyAlignment="1">
      <alignment horizontal="left"/>
    </xf>
    <xf numFmtId="0" fontId="0" fillId="0" borderId="0" xfId="0" applyFill="1" applyAlignment="1">
      <alignment horizontal="left" vertical="top"/>
    </xf>
    <xf numFmtId="0" fontId="0" fillId="0" borderId="0" xfId="0" applyFill="1" applyAlignment="1">
      <alignment horizontal="left"/>
    </xf>
    <xf numFmtId="49" fontId="1" fillId="0" borderId="0" xfId="0" applyNumberFormat="1" applyFont="1" applyFill="1" applyAlignment="1">
      <alignment wrapText="1"/>
    </xf>
    <xf numFmtId="2" fontId="14" fillId="0" borderId="0" xfId="0" applyNumberFormat="1" applyFont="1" applyFill="1" applyAlignment="1">
      <alignment/>
    </xf>
    <xf numFmtId="0" fontId="0" fillId="0" borderId="0" xfId="0" applyFont="1" applyFill="1" applyAlignment="1">
      <alignment/>
    </xf>
    <xf numFmtId="0" fontId="0" fillId="0" borderId="0" xfId="0" applyNumberFormat="1" applyFill="1" applyAlignment="1">
      <alignment horizontal="center" wrapText="1"/>
    </xf>
    <xf numFmtId="1" fontId="5" fillId="0" borderId="10" xfId="0" applyNumberFormat="1"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xf>
    <xf numFmtId="0" fontId="6" fillId="0" borderId="0" xfId="0" applyNumberFormat="1" applyFont="1" applyFill="1" applyBorder="1" applyAlignment="1">
      <alignment/>
    </xf>
    <xf numFmtId="0" fontId="5" fillId="0" borderId="0" xfId="0" applyFont="1" applyFill="1" applyBorder="1" applyAlignment="1">
      <alignment horizontal="center"/>
    </xf>
    <xf numFmtId="49" fontId="0" fillId="0" borderId="0" xfId="0" applyNumberFormat="1" applyFont="1" applyFill="1" applyBorder="1" applyAlignment="1">
      <alignment wrapText="1"/>
    </xf>
    <xf numFmtId="2" fontId="0" fillId="0" borderId="0" xfId="0" applyNumberFormat="1" applyFont="1" applyFill="1" applyBorder="1" applyAlignment="1">
      <alignment horizontal="right" wrapText="1"/>
    </xf>
    <xf numFmtId="49" fontId="5" fillId="0" borderId="0"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6" fillId="0" borderId="0" xfId="0" applyNumberFormat="1" applyFont="1" applyFill="1" applyBorder="1" applyAlignment="1">
      <alignment horizontal="center" wrapText="1"/>
    </xf>
    <xf numFmtId="0" fontId="5" fillId="0" borderId="0" xfId="0" applyFont="1" applyFill="1" applyAlignment="1">
      <alignment horizontal="center"/>
    </xf>
    <xf numFmtId="0" fontId="5" fillId="0" borderId="0" xfId="0" applyFont="1" applyFill="1" applyBorder="1" applyAlignment="1">
      <alignment horizontal="center" vertical="center" wrapText="1"/>
    </xf>
    <xf numFmtId="0" fontId="11" fillId="0" borderId="0" xfId="0" applyFont="1" applyFill="1" applyBorder="1" applyAlignment="1">
      <alignment vertical="top"/>
    </xf>
    <xf numFmtId="0" fontId="0" fillId="0" borderId="0" xfId="0" applyFill="1" applyAlignment="1">
      <alignment horizontal="center"/>
    </xf>
    <xf numFmtId="0" fontId="11" fillId="0" borderId="0" xfId="0" applyFont="1" applyFill="1" applyBorder="1" applyAlignment="1">
      <alignment/>
    </xf>
    <xf numFmtId="0" fontId="11" fillId="0" borderId="0" xfId="0" applyFont="1" applyFill="1" applyBorder="1" applyAlignment="1">
      <alignment horizontal="center"/>
    </xf>
    <xf numFmtId="0" fontId="5" fillId="0" borderId="0" xfId="0" applyFont="1" applyFill="1" applyBorder="1" applyAlignment="1">
      <alignment vertical="center" wrapText="1"/>
    </xf>
    <xf numFmtId="0" fontId="2" fillId="0" borderId="10" xfId="0" applyFont="1" applyFill="1" applyBorder="1" applyAlignment="1">
      <alignment horizontal="center"/>
    </xf>
    <xf numFmtId="0" fontId="17" fillId="0" borderId="0" xfId="0" applyFont="1" applyFill="1" applyAlignment="1">
      <alignment/>
    </xf>
    <xf numFmtId="0" fontId="6" fillId="0" borderId="0" xfId="0" applyFont="1" applyFill="1" applyBorder="1" applyAlignment="1">
      <alignment horizontal="center"/>
    </xf>
    <xf numFmtId="1" fontId="6" fillId="0" borderId="0" xfId="0" applyNumberFormat="1" applyFont="1" applyFill="1" applyBorder="1" applyAlignment="1">
      <alignment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10" xfId="0" applyFont="1" applyFill="1" applyBorder="1" applyAlignment="1">
      <alignment horizontal="left"/>
    </xf>
    <xf numFmtId="0" fontId="6" fillId="0" borderId="10" xfId="0" applyFont="1" applyFill="1" applyBorder="1" applyAlignment="1">
      <alignment/>
    </xf>
    <xf numFmtId="0" fontId="6" fillId="0" borderId="10" xfId="0" applyNumberFormat="1" applyFont="1" applyFill="1" applyBorder="1" applyAlignment="1">
      <alignment/>
    </xf>
    <xf numFmtId="0" fontId="6" fillId="0" borderId="0" xfId="0" applyFont="1" applyFill="1" applyAlignment="1">
      <alignment vertical="top" wrapText="1"/>
    </xf>
    <xf numFmtId="4" fontId="0" fillId="0" borderId="0" xfId="0" applyNumberFormat="1" applyFont="1" applyFill="1" applyBorder="1" applyAlignment="1">
      <alignment horizontal="center" wrapText="1"/>
    </xf>
    <xf numFmtId="0" fontId="20" fillId="0" borderId="0" xfId="0" applyFont="1" applyFill="1" applyAlignment="1">
      <alignment vertical="center"/>
    </xf>
    <xf numFmtId="0" fontId="1" fillId="0" borderId="0" xfId="0" applyFont="1" applyFill="1" applyAlignment="1">
      <alignment vertical="center"/>
    </xf>
    <xf numFmtId="49" fontId="6" fillId="0"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6" fillId="0" borderId="0" xfId="0" applyFont="1" applyFill="1" applyBorder="1" applyAlignment="1">
      <alignment vertical="center"/>
    </xf>
    <xf numFmtId="0" fontId="23" fillId="0" borderId="0" xfId="0" applyFont="1" applyFill="1" applyBorder="1" applyAlignment="1">
      <alignment vertical="center"/>
    </xf>
    <xf numFmtId="0" fontId="23" fillId="0" borderId="0" xfId="68" applyFont="1" applyFill="1">
      <alignment/>
      <protection/>
    </xf>
    <xf numFmtId="49" fontId="0" fillId="0" borderId="0" xfId="0" applyNumberFormat="1" applyFont="1" applyFill="1" applyBorder="1" applyAlignment="1">
      <alignment vertical="center" wrapText="1"/>
    </xf>
    <xf numFmtId="0" fontId="0" fillId="0" borderId="0" xfId="0" applyFill="1" applyAlignment="1">
      <alignment vertical="center" wrapText="1"/>
    </xf>
    <xf numFmtId="0" fontId="0" fillId="0" borderId="0" xfId="0" applyFill="1" applyAlignment="1">
      <alignment vertical="center"/>
    </xf>
    <xf numFmtId="0" fontId="0" fillId="0" borderId="0" xfId="0" applyFill="1" applyAlignment="1">
      <alignment/>
    </xf>
    <xf numFmtId="49" fontId="11" fillId="0" borderId="0" xfId="0" applyNumberFormat="1" applyFont="1" applyFill="1" applyAlignment="1">
      <alignment wrapText="1"/>
    </xf>
    <xf numFmtId="49" fontId="11" fillId="0" borderId="0" xfId="0" applyNumberFormat="1" applyFont="1" applyFill="1" applyAlignment="1">
      <alignment horizontal="center" wrapText="1"/>
    </xf>
    <xf numFmtId="49" fontId="5" fillId="0" borderId="0" xfId="0" applyNumberFormat="1" applyFont="1" applyFill="1" applyAlignment="1">
      <alignment wrapText="1"/>
    </xf>
    <xf numFmtId="49" fontId="0" fillId="0" borderId="0" xfId="0" applyNumberFormat="1" applyFill="1" applyBorder="1" applyAlignment="1">
      <alignment wrapText="1"/>
    </xf>
    <xf numFmtId="0" fontId="0" fillId="0" borderId="0" xfId="0" applyNumberFormat="1" applyFill="1" applyBorder="1" applyAlignment="1">
      <alignment horizontal="center" wrapText="1"/>
    </xf>
    <xf numFmtId="49" fontId="0" fillId="0" borderId="0" xfId="0" applyNumberFormat="1" applyFill="1" applyBorder="1" applyAlignment="1">
      <alignment horizontal="center" wrapText="1"/>
    </xf>
    <xf numFmtId="2" fontId="0" fillId="0" borderId="0" xfId="0" applyNumberFormat="1" applyFill="1" applyBorder="1" applyAlignment="1">
      <alignment horizontal="right" wrapText="1"/>
    </xf>
    <xf numFmtId="2" fontId="5" fillId="0" borderId="0" xfId="0" applyNumberFormat="1" applyFont="1" applyFill="1" applyAlignment="1">
      <alignment horizontal="center" wrapText="1"/>
    </xf>
    <xf numFmtId="0" fontId="5" fillId="0" borderId="10" xfId="0" applyNumberFormat="1" applyFont="1" applyFill="1" applyBorder="1" applyAlignment="1">
      <alignment horizontal="center" vertical="center" wrapText="1"/>
    </xf>
    <xf numFmtId="49" fontId="17" fillId="0" borderId="0" xfId="0" applyNumberFormat="1" applyFont="1" applyFill="1" applyAlignment="1">
      <alignment vertical="center" wrapText="1"/>
    </xf>
    <xf numFmtId="49" fontId="5" fillId="0" borderId="0" xfId="0" applyNumberFormat="1" applyFont="1" applyFill="1" applyAlignment="1">
      <alignment vertical="center" wrapText="1"/>
    </xf>
    <xf numFmtId="0" fontId="7" fillId="0" borderId="0" xfId="0" applyNumberFormat="1" applyFont="1" applyFill="1" applyAlignment="1">
      <alignment wrapText="1"/>
    </xf>
    <xf numFmtId="49" fontId="19" fillId="0" borderId="0" xfId="0" applyNumberFormat="1" applyFont="1" applyFill="1" applyBorder="1" applyAlignment="1">
      <alignment horizontal="center" wrapText="1"/>
    </xf>
    <xf numFmtId="2" fontId="0" fillId="0" borderId="0" xfId="0" applyNumberFormat="1" applyFill="1" applyAlignment="1">
      <alignment wrapText="1"/>
    </xf>
    <xf numFmtId="0" fontId="0" fillId="0" borderId="0" xfId="0" applyNumberFormat="1" applyFill="1" applyAlignment="1">
      <alignment wrapText="1"/>
    </xf>
    <xf numFmtId="0" fontId="26" fillId="0" borderId="11" xfId="0" applyFont="1" applyFill="1" applyBorder="1" applyAlignment="1" applyProtection="1">
      <alignment/>
      <protection/>
    </xf>
    <xf numFmtId="0" fontId="5" fillId="0" borderId="10" xfId="0" applyFont="1" applyFill="1" applyBorder="1" applyAlignment="1" applyProtection="1">
      <alignment horizontal="center" vertical="center" wrapText="1"/>
      <protection/>
    </xf>
    <xf numFmtId="0" fontId="17" fillId="0" borderId="0" xfId="0" applyFont="1" applyFill="1" applyAlignment="1">
      <alignment vertical="center"/>
    </xf>
    <xf numFmtId="0" fontId="11" fillId="0" borderId="0" xfId="0" applyFont="1" applyFill="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11" fillId="0" borderId="0" xfId="0" applyNumberFormat="1" applyFont="1" applyFill="1" applyAlignment="1">
      <alignment vertical="center" wrapText="1"/>
    </xf>
    <xf numFmtId="49" fontId="11" fillId="0" borderId="0" xfId="0" applyNumberFormat="1" applyFont="1" applyFill="1" applyAlignment="1">
      <alignment horizontal="center" vertical="center" wrapText="1"/>
    </xf>
    <xf numFmtId="49" fontId="11" fillId="0" borderId="0" xfId="0" applyNumberFormat="1" applyFont="1" applyFill="1" applyBorder="1" applyAlignment="1">
      <alignment horizontal="center" vertical="center" wrapText="1"/>
    </xf>
    <xf numFmtId="49" fontId="0" fillId="0" borderId="14" xfId="0" applyNumberFormat="1" applyFill="1" applyBorder="1" applyAlignment="1">
      <alignment wrapText="1"/>
    </xf>
    <xf numFmtId="49" fontId="13" fillId="0" borderId="0" xfId="61" applyNumberFormat="1" applyFont="1" applyFill="1" applyAlignment="1">
      <alignment wrapText="1"/>
      <protection/>
    </xf>
    <xf numFmtId="0" fontId="5"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2" fontId="17" fillId="0" borderId="0" xfId="0" applyNumberFormat="1" applyFont="1" applyFill="1" applyBorder="1" applyAlignment="1">
      <alignment horizontal="center" vertical="center" wrapText="1"/>
    </xf>
    <xf numFmtId="0" fontId="14" fillId="0" borderId="0" xfId="0" applyFont="1" applyFill="1" applyAlignment="1">
      <alignment horizontal="center"/>
    </xf>
    <xf numFmtId="2" fontId="5" fillId="0" borderId="10" xfId="61" applyNumberFormat="1" applyFont="1" applyFill="1" applyBorder="1" applyAlignment="1">
      <alignment horizontal="center" vertical="center" wrapText="1"/>
      <protection/>
    </xf>
    <xf numFmtId="0" fontId="5" fillId="0" borderId="10" xfId="61" applyNumberFormat="1" applyFont="1" applyFill="1" applyBorder="1" applyAlignment="1">
      <alignment horizontal="center" vertical="center" wrapText="1"/>
      <protection/>
    </xf>
    <xf numFmtId="0" fontId="5" fillId="0" borderId="13" xfId="61" applyFont="1" applyFill="1" applyBorder="1" applyAlignment="1">
      <alignment horizontal="center" vertical="center" wrapText="1"/>
      <protection/>
    </xf>
    <xf numFmtId="1" fontId="5" fillId="0" borderId="10" xfId="61" applyNumberFormat="1" applyFont="1" applyFill="1" applyBorder="1" applyAlignment="1">
      <alignment horizontal="center" vertical="center" wrapText="1"/>
      <protection/>
    </xf>
    <xf numFmtId="0" fontId="23" fillId="0" borderId="0" xfId="68" applyFont="1" applyFill="1" applyAlignment="1">
      <alignment/>
      <protection/>
    </xf>
    <xf numFmtId="0" fontId="24" fillId="0" borderId="0" xfId="68" applyFont="1" applyFill="1" applyAlignment="1">
      <alignment horizontal="right"/>
      <protection/>
    </xf>
    <xf numFmtId="49" fontId="17" fillId="0" borderId="0" xfId="0" applyNumberFormat="1" applyFont="1" applyFill="1" applyBorder="1" applyAlignment="1">
      <alignment vertical="center" wrapText="1"/>
    </xf>
    <xf numFmtId="0" fontId="0" fillId="0" borderId="0" xfId="0" applyFill="1" applyBorder="1" applyAlignment="1">
      <alignment/>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0" fillId="0" borderId="14" xfId="0" applyFill="1" applyBorder="1" applyAlignment="1">
      <alignment/>
    </xf>
    <xf numFmtId="0" fontId="0" fillId="0" borderId="0" xfId="0" applyFont="1" applyFill="1" applyBorder="1" applyAlignment="1">
      <alignment horizontal="center" vertical="top" wrapText="1"/>
    </xf>
    <xf numFmtId="0" fontId="0" fillId="0" borderId="0" xfId="0" applyFill="1" applyBorder="1" applyAlignment="1">
      <alignment/>
    </xf>
    <xf numFmtId="0" fontId="27" fillId="0" borderId="0" xfId="0" applyFont="1" applyFill="1" applyAlignment="1">
      <alignment/>
    </xf>
    <xf numFmtId="0" fontId="1" fillId="0" borderId="0" xfId="0" applyFont="1" applyFill="1" applyAlignment="1">
      <alignment/>
    </xf>
    <xf numFmtId="0" fontId="5" fillId="0" borderId="0" xfId="0" applyFont="1" applyFill="1" applyBorder="1" applyAlignment="1">
      <alignment/>
    </xf>
    <xf numFmtId="0" fontId="6" fillId="0" borderId="0" xfId="0" applyFont="1" applyFill="1" applyBorder="1" applyAlignment="1">
      <alignment horizontal="center" vertical="top" wrapText="1"/>
    </xf>
    <xf numFmtId="0" fontId="6" fillId="0" borderId="0" xfId="0" applyFont="1" applyFill="1" applyBorder="1" applyAlignment="1" quotePrefix="1">
      <alignment horizontal="center" vertical="center" wrapText="1"/>
    </xf>
    <xf numFmtId="0" fontId="5" fillId="0" borderId="0" xfId="0" applyFont="1" applyFill="1" applyBorder="1" applyAlignment="1">
      <alignment horizontal="center" vertical="center"/>
    </xf>
    <xf numFmtId="0" fontId="14" fillId="0" borderId="0" xfId="0" applyFont="1" applyFill="1" applyAlignment="1">
      <alignment/>
    </xf>
    <xf numFmtId="0" fontId="17" fillId="0" borderId="0" xfId="0" applyFont="1" applyFill="1" applyBorder="1" applyAlignment="1">
      <alignment/>
    </xf>
    <xf numFmtId="0" fontId="14" fillId="0" borderId="0" xfId="0" applyFont="1" applyFill="1" applyBorder="1" applyAlignment="1">
      <alignment/>
    </xf>
    <xf numFmtId="0" fontId="17" fillId="0" borderId="0" xfId="0" applyFont="1" applyFill="1" applyBorder="1" applyAlignment="1">
      <alignment vertical="center" wrapText="1"/>
    </xf>
    <xf numFmtId="0" fontId="17" fillId="0" borderId="0" xfId="0" applyFont="1" applyFill="1" applyBorder="1" applyAlignment="1">
      <alignment/>
    </xf>
    <xf numFmtId="0" fontId="17" fillId="0" borderId="0" xfId="0" applyFont="1" applyFill="1" applyBorder="1" applyAlignment="1">
      <alignment vertical="top"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2" fontId="17" fillId="0" borderId="0" xfId="0" applyNumberFormat="1" applyFont="1" applyFill="1" applyBorder="1" applyAlignment="1">
      <alignment horizontal="center" vertical="top" wrapText="1"/>
    </xf>
    <xf numFmtId="0" fontId="2" fillId="0" borderId="0" xfId="0" applyFont="1" applyFill="1" applyBorder="1" applyAlignment="1">
      <alignment vertical="top" wrapText="1"/>
    </xf>
    <xf numFmtId="0" fontId="5" fillId="0" borderId="12" xfId="0" applyFont="1" applyFill="1" applyBorder="1" applyAlignment="1">
      <alignment horizontal="center" vertical="center"/>
    </xf>
    <xf numFmtId="0" fontId="2" fillId="0" borderId="15" xfId="0" applyFont="1" applyFill="1" applyBorder="1" applyAlignment="1">
      <alignment horizontal="center"/>
    </xf>
    <xf numFmtId="49" fontId="14" fillId="0" borderId="0" xfId="61" applyNumberFormat="1" applyFont="1" applyFill="1" applyAlignment="1">
      <alignment wrapText="1"/>
      <protection/>
    </xf>
    <xf numFmtId="0" fontId="22" fillId="0" borderId="10" xfId="0" applyFont="1" applyFill="1" applyBorder="1" applyAlignment="1">
      <alignment horizontal="center" vertical="center" wrapText="1"/>
    </xf>
    <xf numFmtId="0" fontId="21" fillId="0" borderId="0" xfId="0" applyFont="1" applyFill="1" applyAlignment="1">
      <alignment horizontal="right" vertical="center"/>
    </xf>
    <xf numFmtId="1" fontId="6" fillId="0" borderId="0" xfId="0" applyNumberFormat="1" applyFont="1" applyFill="1" applyBorder="1" applyAlignment="1">
      <alignment horizontal="center" wrapText="1"/>
    </xf>
    <xf numFmtId="0" fontId="6" fillId="0" borderId="0" xfId="0" applyFont="1" applyFill="1" applyAlignment="1">
      <alignment horizontal="center"/>
    </xf>
    <xf numFmtId="0" fontId="22" fillId="0" borderId="0" xfId="0" applyFont="1" applyFill="1" applyBorder="1" applyAlignment="1">
      <alignment horizontal="center" vertical="center" wrapText="1"/>
    </xf>
    <xf numFmtId="2" fontId="0" fillId="0" borderId="0" xfId="0" applyNumberFormat="1" applyFill="1" applyBorder="1" applyAlignment="1">
      <alignment horizontal="center"/>
    </xf>
    <xf numFmtId="0" fontId="17" fillId="0" borderId="0" xfId="0" applyFont="1" applyFill="1" applyAlignment="1">
      <alignment horizontal="center"/>
    </xf>
    <xf numFmtId="0" fontId="0" fillId="0" borderId="0" xfId="0" applyFill="1" applyBorder="1" applyAlignment="1">
      <alignment horizontal="center"/>
    </xf>
    <xf numFmtId="2" fontId="0" fillId="0" borderId="0" xfId="0" applyNumberFormat="1" applyFill="1" applyBorder="1" applyAlignment="1">
      <alignment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6" fillId="0" borderId="0" xfId="0" applyFont="1" applyFill="1" applyAlignment="1">
      <alignment horizontal="left"/>
    </xf>
    <xf numFmtId="0" fontId="6" fillId="0" borderId="0" xfId="0" applyFont="1" applyFill="1" applyBorder="1" applyAlignment="1">
      <alignment/>
    </xf>
    <xf numFmtId="0" fontId="6" fillId="0" borderId="0" xfId="0" applyFont="1" applyFill="1" applyBorder="1" applyAlignment="1">
      <alignment/>
    </xf>
    <xf numFmtId="0" fontId="6" fillId="0" borderId="0" xfId="0" applyNumberFormat="1" applyFont="1" applyFill="1" applyBorder="1" applyAlignment="1">
      <alignment/>
    </xf>
    <xf numFmtId="0" fontId="6" fillId="0" borderId="0" xfId="0" applyFont="1" applyFill="1" applyBorder="1" applyAlignment="1">
      <alignment vertical="top" wrapText="1"/>
    </xf>
    <xf numFmtId="0" fontId="0" fillId="0" borderId="0" xfId="0" applyFill="1" applyBorder="1" applyAlignment="1">
      <alignment horizontal="left" vertical="top"/>
    </xf>
    <xf numFmtId="0" fontId="0" fillId="0" borderId="0" xfId="0" applyFill="1" applyBorder="1" applyAlignment="1">
      <alignment vertical="top" wrapText="1"/>
    </xf>
    <xf numFmtId="0" fontId="0" fillId="0" borderId="0" xfId="0" applyFill="1" applyBorder="1" applyAlignment="1">
      <alignment vertical="center"/>
    </xf>
    <xf numFmtId="188" fontId="0" fillId="0" borderId="0" xfId="0" applyNumberFormat="1" applyFill="1" applyAlignment="1">
      <alignment horizontal="right" wrapText="1"/>
    </xf>
    <xf numFmtId="0" fontId="29" fillId="0" borderId="0" xfId="0" applyFont="1" applyFill="1" applyAlignment="1">
      <alignment vertical="center"/>
    </xf>
    <xf numFmtId="2" fontId="17" fillId="0" borderId="0" xfId="0" applyNumberFormat="1" applyFont="1" applyFill="1" applyAlignment="1">
      <alignment/>
    </xf>
    <xf numFmtId="0" fontId="11" fillId="0" borderId="0" xfId="0" applyFont="1" applyFill="1" applyBorder="1" applyAlignment="1">
      <alignment horizontal="center" vertical="center"/>
    </xf>
    <xf numFmtId="49" fontId="6" fillId="0" borderId="0" xfId="0" applyNumberFormat="1" applyFont="1" applyFill="1" applyBorder="1" applyAlignment="1">
      <alignment vertical="center" wrapText="1"/>
    </xf>
    <xf numFmtId="0" fontId="17" fillId="0" borderId="0" xfId="0" applyFont="1" applyFill="1" applyAlignment="1">
      <alignment/>
    </xf>
    <xf numFmtId="0" fontId="2" fillId="0" borderId="12" xfId="0" applyFont="1" applyFill="1" applyBorder="1" applyAlignment="1">
      <alignment horizontal="center" vertical="center"/>
    </xf>
    <xf numFmtId="49" fontId="17" fillId="0" borderId="0" xfId="0" applyNumberFormat="1" applyFont="1" applyFill="1" applyBorder="1" applyAlignment="1">
      <alignment vertical="center" wrapText="1"/>
    </xf>
    <xf numFmtId="0" fontId="2" fillId="0" borderId="0" xfId="0" applyFont="1" applyFill="1" applyBorder="1" applyAlignment="1">
      <alignment horizontal="center"/>
    </xf>
    <xf numFmtId="0" fontId="11" fillId="0" borderId="0" xfId="0" applyFont="1" applyFill="1" applyAlignment="1">
      <alignment/>
    </xf>
    <xf numFmtId="49" fontId="11" fillId="0" borderId="0" xfId="61" applyNumberFormat="1" applyFont="1" applyFill="1" applyAlignment="1">
      <alignment horizontal="center" vertical="center" wrapText="1"/>
      <protection/>
    </xf>
    <xf numFmtId="49" fontId="6" fillId="0" borderId="0" xfId="0" applyNumberFormat="1" applyFont="1" applyFill="1" applyAlignment="1">
      <alignment vertical="center" wrapText="1"/>
    </xf>
    <xf numFmtId="49" fontId="6" fillId="0" borderId="0" xfId="0" applyNumberFormat="1" applyFont="1" applyFill="1" applyAlignment="1">
      <alignment vertical="center" wrapText="1"/>
    </xf>
    <xf numFmtId="0" fontId="6" fillId="0" borderId="0" xfId="0" applyFont="1" applyFill="1" applyAlignment="1">
      <alignment vertical="center"/>
    </xf>
    <xf numFmtId="49" fontId="17" fillId="0" borderId="14" xfId="0" applyNumberFormat="1" applyFont="1" applyFill="1" applyBorder="1" applyAlignment="1">
      <alignment vertical="center" wrapText="1"/>
    </xf>
    <xf numFmtId="0" fontId="31" fillId="0" borderId="0" xfId="0" applyFont="1" applyFill="1" applyBorder="1" applyAlignment="1">
      <alignment vertical="center" wrapText="1"/>
    </xf>
    <xf numFmtId="0" fontId="17" fillId="0" borderId="14" xfId="0" applyFont="1" applyFill="1" applyBorder="1" applyAlignment="1">
      <alignment vertical="center"/>
    </xf>
    <xf numFmtId="49" fontId="0" fillId="0" borderId="14" xfId="0" applyNumberFormat="1" applyFont="1" applyFill="1" applyBorder="1" applyAlignment="1">
      <alignment vertical="center" wrapText="1"/>
    </xf>
    <xf numFmtId="2" fontId="17" fillId="0" borderId="14" xfId="59" applyNumberFormat="1" applyFont="1" applyFill="1" applyBorder="1" applyAlignment="1" applyProtection="1">
      <alignment vertical="center"/>
      <protection/>
    </xf>
    <xf numFmtId="2" fontId="17" fillId="0" borderId="0" xfId="59" applyNumberFormat="1" applyFont="1" applyFill="1" applyBorder="1" applyAlignment="1" applyProtection="1">
      <alignment vertical="center"/>
      <protection/>
    </xf>
    <xf numFmtId="0" fontId="1" fillId="0" borderId="0" xfId="0" applyFont="1" applyFill="1" applyBorder="1" applyAlignment="1">
      <alignment vertical="center"/>
    </xf>
    <xf numFmtId="0" fontId="0" fillId="0" borderId="0" xfId="0" applyFill="1" applyBorder="1" applyAlignment="1">
      <alignment vertical="center" wrapText="1"/>
    </xf>
    <xf numFmtId="0" fontId="17" fillId="0" borderId="0" xfId="0" applyFont="1" applyFill="1" applyBorder="1" applyAlignment="1">
      <alignment/>
    </xf>
    <xf numFmtId="0" fontId="17" fillId="0" borderId="0" xfId="0" applyFont="1" applyFill="1" applyBorder="1" applyAlignment="1">
      <alignment vertical="center"/>
    </xf>
    <xf numFmtId="49" fontId="16" fillId="0" borderId="0" xfId="61" applyNumberFormat="1" applyFont="1" applyFill="1" applyBorder="1" applyAlignment="1">
      <alignment horizontal="center" wrapText="1"/>
      <protection/>
    </xf>
    <xf numFmtId="0" fontId="5" fillId="0" borderId="0" xfId="0" applyFont="1" applyFill="1" applyAlignment="1">
      <alignment vertical="center"/>
    </xf>
    <xf numFmtId="0" fontId="6" fillId="0" borderId="0" xfId="0" applyFont="1" applyFill="1" applyBorder="1" applyAlignment="1">
      <alignment vertical="center"/>
    </xf>
    <xf numFmtId="0" fontId="30" fillId="0" borderId="0" xfId="0" applyFont="1" applyFill="1" applyBorder="1" applyAlignment="1">
      <alignment horizontal="center"/>
    </xf>
    <xf numFmtId="49" fontId="11" fillId="0" borderId="0" xfId="0" applyNumberFormat="1" applyFont="1" applyFill="1" applyBorder="1" applyAlignment="1">
      <alignment vertical="center" wrapText="1"/>
    </xf>
    <xf numFmtId="0" fontId="6" fillId="0" borderId="10" xfId="0" applyFont="1" applyFill="1" applyBorder="1" applyAlignment="1">
      <alignment horizontal="center" vertical="center" wrapText="1"/>
    </xf>
    <xf numFmtId="49" fontId="17" fillId="0" borderId="0" xfId="0" applyNumberFormat="1" applyFont="1" applyFill="1" applyAlignment="1">
      <alignment horizontal="center" wrapText="1"/>
    </xf>
    <xf numFmtId="0" fontId="2" fillId="0" borderId="12" xfId="0" applyNumberFormat="1" applyFont="1" applyFill="1" applyBorder="1" applyAlignment="1">
      <alignment horizontal="center" vertical="center" wrapText="1"/>
    </xf>
    <xf numFmtId="49" fontId="6" fillId="0" borderId="10" xfId="0" applyNumberFormat="1" applyFont="1" applyFill="1" applyBorder="1" applyAlignment="1">
      <alignment vertical="center" wrapText="1"/>
    </xf>
    <xf numFmtId="1" fontId="6" fillId="0" borderId="10" xfId="0" applyNumberFormat="1" applyFont="1" applyFill="1" applyBorder="1" applyAlignment="1">
      <alignment horizontal="center" vertical="center" wrapText="1"/>
    </xf>
    <xf numFmtId="2" fontId="6" fillId="0" borderId="10" xfId="0" applyNumberFormat="1" applyFont="1" applyFill="1" applyBorder="1" applyAlignment="1" quotePrefix="1">
      <alignment horizontal="center" vertical="center" wrapText="1"/>
    </xf>
    <xf numFmtId="0" fontId="0" fillId="0" borderId="10" xfId="0" applyFont="1" applyFill="1" applyBorder="1" applyAlignment="1">
      <alignment/>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5" xfId="0" applyNumberFormat="1" applyFont="1" applyFill="1" applyBorder="1" applyAlignment="1">
      <alignment vertical="center" wrapText="1"/>
    </xf>
    <xf numFmtId="0" fontId="6" fillId="0" borderId="12" xfId="0" applyFont="1" applyFill="1" applyBorder="1" applyAlignment="1">
      <alignment horizontal="left" vertical="center" wrapText="1"/>
    </xf>
    <xf numFmtId="0" fontId="17" fillId="0" borderId="10" xfId="0" applyFont="1" applyFill="1" applyBorder="1" applyAlignment="1">
      <alignment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2"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xf>
    <xf numFmtId="49" fontId="17" fillId="0" borderId="10" xfId="0" applyNumberFormat="1" applyFont="1" applyFill="1" applyBorder="1" applyAlignment="1">
      <alignment vertical="center" wrapText="1"/>
    </xf>
    <xf numFmtId="0" fontId="17" fillId="0"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2" fontId="2" fillId="0" borderId="10" xfId="0" applyNumberFormat="1" applyFont="1" applyFill="1" applyBorder="1" applyAlignment="1">
      <alignment horizontal="center" vertical="center"/>
    </xf>
    <xf numFmtId="0" fontId="17" fillId="0" borderId="10" xfId="0" applyFont="1" applyFill="1" applyBorder="1" applyAlignment="1">
      <alignment horizontal="center"/>
    </xf>
    <xf numFmtId="0" fontId="6" fillId="0" borderId="10" xfId="0" applyFont="1" applyFill="1" applyBorder="1" applyAlignment="1">
      <alignment/>
    </xf>
    <xf numFmtId="0" fontId="17" fillId="0" borderId="10" xfId="61" applyNumberFormat="1" applyFont="1" applyFill="1" applyBorder="1" applyAlignment="1">
      <alignment horizontal="center" vertical="center" wrapText="1"/>
      <protection/>
    </xf>
    <xf numFmtId="2" fontId="17" fillId="0" borderId="10" xfId="61" applyNumberFormat="1" applyFont="1" applyFill="1" applyBorder="1" applyAlignment="1">
      <alignment horizontal="center" vertical="center" wrapText="1"/>
      <protection/>
    </xf>
    <xf numFmtId="49" fontId="17" fillId="0" borderId="10" xfId="61" applyNumberFormat="1" applyFont="1" applyFill="1" applyBorder="1" applyAlignment="1">
      <alignment vertical="center" wrapText="1"/>
      <protection/>
    </xf>
    <xf numFmtId="1" fontId="17" fillId="0" borderId="10" xfId="61" applyNumberFormat="1" applyFont="1" applyFill="1" applyBorder="1" applyAlignment="1">
      <alignment horizontal="center" vertical="center" wrapText="1"/>
      <protection/>
    </xf>
    <xf numFmtId="49" fontId="17" fillId="0" borderId="10" xfId="61" applyNumberFormat="1" applyFont="1" applyFill="1" applyBorder="1" applyAlignment="1">
      <alignment horizontal="center" vertical="top" wrapText="1"/>
      <protection/>
    </xf>
    <xf numFmtId="2" fontId="2" fillId="0" borderId="10" xfId="61" applyNumberFormat="1" applyFont="1" applyFill="1" applyBorder="1" applyAlignment="1">
      <alignment horizontal="center" vertical="center" wrapText="1"/>
      <protection/>
    </xf>
    <xf numFmtId="0" fontId="0" fillId="0" borderId="10" xfId="0" applyFill="1" applyBorder="1" applyAlignment="1">
      <alignment horizontal="center" vertical="top" wrapText="1"/>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center" vertical="center" wrapText="1"/>
    </xf>
    <xf numFmtId="0" fontId="0" fillId="0" borderId="10" xfId="0" applyFill="1" applyBorder="1" applyAlignment="1">
      <alignment vertical="top"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vertical="center" wrapText="1"/>
    </xf>
    <xf numFmtId="1"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vertical="center" wrapText="1"/>
    </xf>
    <xf numFmtId="0" fontId="17" fillId="0" borderId="10"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top" wrapText="1"/>
    </xf>
    <xf numFmtId="0" fontId="17" fillId="0" borderId="10" xfId="0" applyFont="1" applyFill="1" applyBorder="1" applyAlignment="1">
      <alignment horizontal="left" vertical="center" wrapText="1"/>
    </xf>
    <xf numFmtId="0" fontId="2" fillId="0" borderId="10" xfId="0" applyFont="1" applyFill="1" applyBorder="1" applyAlignment="1">
      <alignment vertical="top" wrapText="1"/>
    </xf>
    <xf numFmtId="0" fontId="17" fillId="0" borderId="10" xfId="0" applyFont="1" applyFill="1" applyBorder="1" applyAlignment="1">
      <alignment horizontal="right" vertical="top" wrapText="1"/>
    </xf>
    <xf numFmtId="0" fontId="0" fillId="0" borderId="10" xfId="0" applyFill="1" applyBorder="1" applyAlignment="1">
      <alignment horizontal="center" vertical="center"/>
    </xf>
    <xf numFmtId="2" fontId="0" fillId="0" borderId="10" xfId="0" applyNumberFormat="1" applyFill="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0" borderId="10" xfId="0" applyFill="1" applyBorder="1" applyAlignment="1">
      <alignment vertical="center"/>
    </xf>
    <xf numFmtId="0" fontId="0" fillId="0" borderId="12" xfId="0" applyFill="1" applyBorder="1" applyAlignment="1">
      <alignment horizontal="center" vertical="center"/>
    </xf>
    <xf numFmtId="0" fontId="0" fillId="0" borderId="10" xfId="0" applyFont="1" applyFill="1" applyBorder="1" applyAlignment="1">
      <alignment horizontal="center" vertical="center"/>
    </xf>
    <xf numFmtId="0" fontId="0" fillId="0" borderId="0" xfId="0" applyFill="1" applyAlignment="1">
      <alignment horizontal="center" vertical="center"/>
    </xf>
    <xf numFmtId="0" fontId="0" fillId="0" borderId="10" xfId="0" applyFont="1" applyFill="1" applyBorder="1" applyAlignment="1">
      <alignment vertical="center" wrapText="1"/>
    </xf>
    <xf numFmtId="0" fontId="0" fillId="0" borderId="10" xfId="0" applyFill="1" applyBorder="1" applyAlignment="1">
      <alignment horizontal="center"/>
    </xf>
    <xf numFmtId="2" fontId="0" fillId="0" borderId="10" xfId="0" applyNumberFormat="1" applyFill="1" applyBorder="1" applyAlignment="1">
      <alignment horizont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xf>
    <xf numFmtId="2" fontId="1" fillId="0" borderId="10" xfId="0" applyNumberFormat="1" applyFont="1" applyFill="1" applyBorder="1" applyAlignment="1">
      <alignment horizontal="center" vertical="center"/>
    </xf>
    <xf numFmtId="0" fontId="0" fillId="0" borderId="10" xfId="0" applyFont="1" applyFill="1" applyBorder="1" applyAlignment="1">
      <alignment horizontal="left" wrapText="1"/>
    </xf>
    <xf numFmtId="2" fontId="1" fillId="0" borderId="10" xfId="0" applyNumberFormat="1" applyFont="1" applyFill="1" applyBorder="1" applyAlignment="1">
      <alignment horizontal="center"/>
    </xf>
    <xf numFmtId="2" fontId="0" fillId="0" borderId="10" xfId="0" applyNumberFormat="1" applyFont="1" applyFill="1" applyBorder="1" applyAlignment="1">
      <alignment horizontal="center" vertical="center"/>
    </xf>
    <xf numFmtId="0" fontId="0" fillId="0" borderId="10" xfId="0" applyFill="1" applyBorder="1" applyAlignment="1">
      <alignment/>
    </xf>
    <xf numFmtId="0" fontId="17" fillId="0" borderId="10" xfId="0" applyFont="1" applyFill="1" applyBorder="1" applyAlignment="1">
      <alignment vertical="top" wrapText="1"/>
    </xf>
    <xf numFmtId="0" fontId="11" fillId="0" borderId="0" xfId="0" applyFont="1" applyFill="1" applyAlignment="1">
      <alignment horizontal="center"/>
    </xf>
    <xf numFmtId="0" fontId="5" fillId="0" borderId="0" xfId="0" applyFont="1" applyFill="1" applyAlignment="1">
      <alignment/>
    </xf>
    <xf numFmtId="0" fontId="5" fillId="0" borderId="10" xfId="0" applyFont="1" applyFill="1" applyBorder="1" applyAlignment="1">
      <alignment horizontal="center"/>
    </xf>
    <xf numFmtId="0" fontId="5" fillId="0" borderId="12" xfId="0" applyFont="1" applyFill="1" applyBorder="1" applyAlignment="1">
      <alignment horizontal="center"/>
    </xf>
    <xf numFmtId="0" fontId="5" fillId="0" borderId="10" xfId="0" applyFont="1" applyFill="1" applyBorder="1" applyAlignment="1">
      <alignment vertical="center"/>
    </xf>
    <xf numFmtId="0" fontId="5" fillId="0" borderId="15" xfId="0" applyFont="1" applyFill="1" applyBorder="1" applyAlignment="1">
      <alignment vertical="center"/>
    </xf>
    <xf numFmtId="0" fontId="17" fillId="0" borderId="10" xfId="0" applyFont="1" applyFill="1" applyBorder="1" applyAlignment="1">
      <alignment horizontal="right" vertical="center"/>
    </xf>
    <xf numFmtId="0" fontId="17" fillId="0" borderId="10"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0" fillId="32" borderId="0" xfId="0" applyFill="1" applyAlignment="1">
      <alignment vertical="center" wrapText="1"/>
    </xf>
    <xf numFmtId="0" fontId="17" fillId="32" borderId="10" xfId="0" applyFont="1" applyFill="1" applyBorder="1" applyAlignment="1">
      <alignment vertical="center" wrapText="1"/>
    </xf>
    <xf numFmtId="0" fontId="17" fillId="0" borderId="10" xfId="0" applyFont="1" applyFill="1" applyBorder="1" applyAlignment="1">
      <alignment horizontal="right"/>
    </xf>
    <xf numFmtId="0" fontId="17" fillId="32" borderId="10" xfId="0" applyNumberFormat="1" applyFont="1" applyFill="1" applyBorder="1" applyAlignment="1">
      <alignment horizontal="center" vertical="center"/>
    </xf>
    <xf numFmtId="0" fontId="2" fillId="0" borderId="10" xfId="0" applyFont="1" applyFill="1" applyBorder="1" applyAlignment="1">
      <alignment/>
    </xf>
    <xf numFmtId="0" fontId="2" fillId="0" borderId="10" xfId="0" applyNumberFormat="1" applyFont="1" applyFill="1" applyBorder="1" applyAlignment="1">
      <alignment horizontal="center"/>
    </xf>
    <xf numFmtId="0" fontId="2" fillId="0" borderId="15" xfId="0" applyFont="1" applyFill="1" applyBorder="1" applyAlignment="1">
      <alignment/>
    </xf>
    <xf numFmtId="0" fontId="2" fillId="0" borderId="16" xfId="0" applyFont="1" applyFill="1" applyBorder="1" applyAlignment="1">
      <alignment horizontal="center"/>
    </xf>
    <xf numFmtId="0" fontId="2" fillId="0" borderId="16" xfId="0" applyFont="1" applyFill="1" applyBorder="1" applyAlignment="1">
      <alignment/>
    </xf>
    <xf numFmtId="0" fontId="2" fillId="0" borderId="17" xfId="0" applyFont="1" applyFill="1" applyBorder="1" applyAlignment="1">
      <alignment/>
    </xf>
    <xf numFmtId="0" fontId="17" fillId="0" borderId="10" xfId="0" applyFont="1" applyFill="1" applyBorder="1" applyAlignment="1" quotePrefix="1">
      <alignment horizontal="center" vertical="center" wrapText="1"/>
    </xf>
    <xf numFmtId="0" fontId="17" fillId="0" borderId="10" xfId="0" applyNumberFormat="1" applyFont="1" applyFill="1" applyBorder="1" applyAlignment="1">
      <alignment horizontal="center"/>
    </xf>
    <xf numFmtId="2" fontId="17" fillId="0" borderId="10" xfId="0" applyNumberFormat="1" applyFont="1" applyFill="1" applyBorder="1" applyAlignment="1">
      <alignment/>
    </xf>
    <xf numFmtId="190" fontId="17" fillId="0" borderId="10" xfId="0" applyNumberFormat="1" applyFont="1" applyFill="1" applyBorder="1" applyAlignment="1">
      <alignment horizontal="center"/>
    </xf>
    <xf numFmtId="2" fontId="17" fillId="0" borderId="10" xfId="0" applyNumberFormat="1" applyFont="1" applyFill="1" applyBorder="1" applyAlignment="1">
      <alignment horizontal="right" vertical="top" wrapText="1"/>
    </xf>
    <xf numFmtId="0" fontId="0" fillId="0" borderId="10" xfId="0" applyFont="1" applyFill="1" applyBorder="1" applyAlignment="1">
      <alignment horizontal="left" vertical="center"/>
    </xf>
    <xf numFmtId="0" fontId="17" fillId="0" borderId="15" xfId="0" applyNumberFormat="1" applyFont="1" applyFill="1" applyBorder="1" applyAlignment="1">
      <alignment/>
    </xf>
    <xf numFmtId="0" fontId="17" fillId="0" borderId="16" xfId="0" applyNumberFormat="1" applyFont="1" applyFill="1" applyBorder="1" applyAlignment="1">
      <alignment/>
    </xf>
    <xf numFmtId="0" fontId="17" fillId="0" borderId="17" xfId="0" applyNumberFormat="1" applyFont="1" applyFill="1" applyBorder="1" applyAlignment="1">
      <alignment/>
    </xf>
    <xf numFmtId="0" fontId="5" fillId="0" borderId="10" xfId="0" applyFont="1" applyFill="1" applyBorder="1" applyAlignment="1">
      <alignment/>
    </xf>
    <xf numFmtId="0" fontId="17" fillId="0" borderId="10" xfId="0" applyFont="1" applyFill="1" applyBorder="1" applyAlignment="1">
      <alignment/>
    </xf>
    <xf numFmtId="2" fontId="6" fillId="0" borderId="0" xfId="0" applyNumberFormat="1" applyFont="1" applyFill="1" applyAlignment="1">
      <alignment horizontal="left"/>
    </xf>
    <xf numFmtId="0" fontId="6" fillId="0" borderId="10" xfId="0" applyFont="1" applyFill="1" applyBorder="1" applyAlignment="1">
      <alignment vertical="top"/>
    </xf>
    <xf numFmtId="0" fontId="22" fillId="0" borderId="14" xfId="0" applyFont="1" applyFill="1" applyBorder="1" applyAlignment="1">
      <alignment vertical="center"/>
    </xf>
    <xf numFmtId="0" fontId="17" fillId="0" borderId="10" xfId="0" applyFont="1" applyFill="1" applyBorder="1" applyAlignment="1">
      <alignment wrapText="1"/>
    </xf>
    <xf numFmtId="0" fontId="30" fillId="0" borderId="0" xfId="0" applyFont="1" applyFill="1" applyBorder="1" applyAlignment="1">
      <alignment horizontal="left" vertical="top"/>
    </xf>
    <xf numFmtId="0" fontId="6" fillId="0" borderId="0" xfId="0" applyFont="1" applyFill="1" applyBorder="1" applyAlignment="1">
      <alignment vertical="top" wrapText="1"/>
    </xf>
    <xf numFmtId="0" fontId="6" fillId="0" borderId="0" xfId="0" applyNumberFormat="1" applyFont="1" applyFill="1" applyBorder="1" applyAlignment="1">
      <alignment horizontal="center"/>
    </xf>
    <xf numFmtId="2" fontId="6" fillId="0" borderId="0" xfId="0" applyNumberFormat="1" applyFont="1" applyFill="1" applyBorder="1" applyAlignment="1">
      <alignment/>
    </xf>
    <xf numFmtId="0" fontId="30" fillId="0" borderId="0" xfId="0" applyFont="1" applyFill="1" applyBorder="1" applyAlignment="1">
      <alignment horizontal="center" vertical="top"/>
    </xf>
    <xf numFmtId="0" fontId="6" fillId="0" borderId="10" xfId="0" applyFont="1" applyFill="1" applyBorder="1" applyAlignment="1" quotePrefix="1">
      <alignment horizontal="right" vertical="center" wrapText="1"/>
    </xf>
    <xf numFmtId="0" fontId="6" fillId="0" borderId="10" xfId="0" applyFont="1" applyFill="1" applyBorder="1" applyAlignment="1" quotePrefix="1">
      <alignment horizontal="right" vertical="top" wrapText="1"/>
    </xf>
    <xf numFmtId="0" fontId="6" fillId="0" borderId="0" xfId="0" applyFont="1" applyFill="1" applyAlignment="1">
      <alignment vertical="top" wrapText="1"/>
    </xf>
    <xf numFmtId="0" fontId="6" fillId="0" borderId="0" xfId="0" applyNumberFormat="1" applyFont="1" applyFill="1" applyAlignment="1">
      <alignment horizontal="center"/>
    </xf>
    <xf numFmtId="0" fontId="0" fillId="0" borderId="0" xfId="0" applyNumberFormat="1" applyFill="1" applyAlignment="1">
      <alignment horizontal="center"/>
    </xf>
    <xf numFmtId="0" fontId="7" fillId="0" borderId="0" xfId="0" applyFont="1" applyFill="1" applyAlignment="1">
      <alignment/>
    </xf>
    <xf numFmtId="0" fontId="17" fillId="0" borderId="10" xfId="0" applyFont="1" applyFill="1" applyBorder="1" applyAlignment="1">
      <alignment vertical="center" wrapText="1"/>
    </xf>
    <xf numFmtId="0" fontId="17" fillId="0" borderId="10" xfId="0" applyFont="1" applyFill="1" applyBorder="1" applyAlignment="1">
      <alignment horizontal="center" vertical="center"/>
    </xf>
    <xf numFmtId="2" fontId="17" fillId="0" borderId="10" xfId="0" applyNumberFormat="1" applyFont="1" applyFill="1" applyBorder="1" applyAlignment="1">
      <alignment horizontal="center" vertical="center"/>
    </xf>
    <xf numFmtId="0" fontId="2" fillId="0" borderId="0" xfId="0" applyFont="1" applyFill="1" applyAlignment="1" quotePrefix="1">
      <alignment/>
    </xf>
    <xf numFmtId="0" fontId="2" fillId="0" borderId="0" xfId="0" applyFont="1" applyFill="1" applyBorder="1" applyAlignment="1">
      <alignment/>
    </xf>
    <xf numFmtId="0" fontId="17" fillId="0" borderId="0" xfId="0" applyNumberFormat="1" applyFont="1" applyFill="1" applyAlignment="1">
      <alignment/>
    </xf>
    <xf numFmtId="0" fontId="2" fillId="0" borderId="0" xfId="0" applyFont="1" applyFill="1" applyAlignment="1">
      <alignment/>
    </xf>
    <xf numFmtId="0" fontId="0" fillId="0" borderId="11" xfId="0" applyFill="1" applyBorder="1" applyAlignment="1">
      <alignment/>
    </xf>
    <xf numFmtId="0" fontId="0" fillId="0" borderId="11" xfId="0" applyNumberFormat="1" applyFill="1" applyBorder="1" applyAlignment="1">
      <alignment/>
    </xf>
    <xf numFmtId="0"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0" fontId="22" fillId="0" borderId="14" xfId="0" applyFont="1" applyFill="1" applyBorder="1" applyAlignment="1">
      <alignment/>
    </xf>
    <xf numFmtId="0" fontId="22" fillId="0" borderId="0" xfId="0" applyFont="1" applyFill="1" applyAlignment="1">
      <alignment/>
    </xf>
    <xf numFmtId="0" fontId="22" fillId="0" borderId="0" xfId="0" applyFont="1" applyFill="1" applyAlignment="1">
      <alignment/>
    </xf>
    <xf numFmtId="0" fontId="39" fillId="0" borderId="10" xfId="0" applyNumberFormat="1" applyFont="1" applyFill="1" applyBorder="1" applyAlignment="1">
      <alignment vertical="center" wrapText="1"/>
    </xf>
    <xf numFmtId="49" fontId="22" fillId="0" borderId="14" xfId="0" applyNumberFormat="1" applyFont="1" applyFill="1" applyBorder="1" applyAlignment="1">
      <alignment vertical="center" wrapText="1"/>
    </xf>
    <xf numFmtId="49" fontId="22" fillId="0" borderId="0" xfId="0" applyNumberFormat="1" applyFont="1" applyFill="1" applyAlignment="1">
      <alignment vertical="center" wrapText="1"/>
    </xf>
    <xf numFmtId="0" fontId="22" fillId="0" borderId="15" xfId="0" applyFont="1" applyFill="1" applyBorder="1" applyAlignment="1">
      <alignment vertical="center"/>
    </xf>
    <xf numFmtId="0" fontId="22" fillId="0" borderId="10" xfId="0" applyFont="1" applyFill="1" applyBorder="1" applyAlignment="1">
      <alignment horizontal="left" vertical="center"/>
    </xf>
    <xf numFmtId="0" fontId="22" fillId="0" borderId="10" xfId="0" applyFont="1" applyFill="1" applyBorder="1" applyAlignment="1">
      <alignment horizontal="left" vertical="center" wrapText="1"/>
    </xf>
    <xf numFmtId="2" fontId="22" fillId="0" borderId="0" xfId="0" applyNumberFormat="1" applyFont="1" applyFill="1" applyAlignment="1">
      <alignment/>
    </xf>
    <xf numFmtId="0" fontId="39" fillId="0" borderId="10" xfId="0" applyFont="1" applyFill="1" applyBorder="1" applyAlignment="1">
      <alignment horizontal="center" vertical="center"/>
    </xf>
    <xf numFmtId="2" fontId="39" fillId="0" borderId="10" xfId="0" applyNumberFormat="1" applyFont="1" applyFill="1" applyBorder="1" applyAlignment="1">
      <alignment horizontal="center" vertical="center"/>
    </xf>
    <xf numFmtId="0" fontId="22" fillId="0" borderId="0" xfId="0" applyFont="1" applyFill="1" applyAlignment="1">
      <alignment vertical="center"/>
    </xf>
    <xf numFmtId="0" fontId="22" fillId="0" borderId="17" xfId="0" applyFont="1" applyFill="1" applyBorder="1" applyAlignment="1">
      <alignment vertical="center"/>
    </xf>
    <xf numFmtId="0" fontId="22" fillId="0" borderId="17" xfId="0" applyFont="1" applyFill="1" applyBorder="1" applyAlignment="1">
      <alignment horizontal="center" vertical="center"/>
    </xf>
    <xf numFmtId="0" fontId="39" fillId="0" borderId="13" xfId="0" applyFont="1" applyFill="1" applyBorder="1" applyAlignment="1">
      <alignment horizontal="center" vertical="center"/>
    </xf>
    <xf numFmtId="0" fontId="5" fillId="0" borderId="17" xfId="0" applyFont="1" applyFill="1" applyBorder="1" applyAlignment="1">
      <alignment vertical="center"/>
    </xf>
    <xf numFmtId="0" fontId="5" fillId="0" borderId="18" xfId="0" applyFont="1" applyFill="1" applyBorder="1" applyAlignment="1">
      <alignment horizontal="center" vertical="center"/>
    </xf>
    <xf numFmtId="2" fontId="2" fillId="0" borderId="13"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Border="1" applyAlignment="1">
      <alignment horizontal="center" vertical="center"/>
    </xf>
    <xf numFmtId="0" fontId="1" fillId="0" borderId="10" xfId="0" applyFont="1" applyFill="1" applyBorder="1" applyAlignment="1">
      <alignment vertical="center"/>
    </xf>
    <xf numFmtId="0" fontId="0" fillId="0" borderId="16" xfId="0" applyFill="1" applyBorder="1" applyAlignment="1">
      <alignment vertical="center" wrapText="1"/>
    </xf>
    <xf numFmtId="0" fontId="0" fillId="0" borderId="17" xfId="0" applyFill="1" applyBorder="1" applyAlignment="1">
      <alignment vertical="center" wrapText="1"/>
    </xf>
    <xf numFmtId="2" fontId="0" fillId="0" borderId="0" xfId="0" applyNumberFormat="1" applyFill="1" applyAlignment="1">
      <alignment horizontal="center" vertical="center"/>
    </xf>
    <xf numFmtId="2" fontId="0" fillId="0" borderId="0" xfId="0" applyNumberFormat="1" applyFill="1" applyAlignment="1">
      <alignment/>
    </xf>
    <xf numFmtId="0" fontId="0" fillId="0" borderId="0" xfId="0" applyNumberFormat="1" applyFill="1" applyAlignment="1">
      <alignment vertical="top" wrapText="1"/>
    </xf>
    <xf numFmtId="0" fontId="0" fillId="0" borderId="0" xfId="0" applyFill="1" applyAlignment="1">
      <alignment vertical="top"/>
    </xf>
    <xf numFmtId="0" fontId="0" fillId="0" borderId="0" xfId="0" applyFill="1" applyAlignment="1">
      <alignment horizontal="left" vertical="top" wrapText="1"/>
    </xf>
    <xf numFmtId="0" fontId="7" fillId="0" borderId="0" xfId="0" applyFont="1" applyFill="1" applyAlignment="1">
      <alignment/>
    </xf>
    <xf numFmtId="0" fontId="40" fillId="0" borderId="0" xfId="0" applyFont="1" applyFill="1" applyBorder="1" applyAlignment="1">
      <alignment/>
    </xf>
    <xf numFmtId="0" fontId="1" fillId="0" borderId="0" xfId="0" applyFont="1" applyFill="1" applyBorder="1" applyAlignment="1" quotePrefix="1">
      <alignment/>
    </xf>
    <xf numFmtId="0" fontId="1" fillId="0" borderId="0" xfId="0"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0" fillId="0" borderId="14" xfId="0" applyFill="1" applyBorder="1" applyAlignment="1">
      <alignment/>
    </xf>
    <xf numFmtId="0" fontId="0" fillId="0" borderId="12" xfId="0" applyFill="1" applyBorder="1" applyAlignment="1">
      <alignment horizontal="center" vertical="top"/>
    </xf>
    <xf numFmtId="0" fontId="1" fillId="0" borderId="10" xfId="0" applyFont="1" applyFill="1" applyBorder="1" applyAlignment="1">
      <alignment/>
    </xf>
    <xf numFmtId="0" fontId="1" fillId="0" borderId="15"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0" fillId="0" borderId="19" xfId="0" applyFill="1" applyBorder="1" applyAlignment="1">
      <alignment horizontal="center" vertical="top"/>
    </xf>
    <xf numFmtId="0" fontId="0" fillId="0" borderId="10" xfId="0" applyFill="1" applyBorder="1" applyAlignment="1">
      <alignment horizontal="right" vertical="top"/>
    </xf>
    <xf numFmtId="0" fontId="1" fillId="0" borderId="10" xfId="0" applyFont="1" applyFill="1" applyBorder="1" applyAlignment="1">
      <alignment wrapText="1"/>
    </xf>
    <xf numFmtId="0" fontId="0" fillId="0" borderId="15" xfId="0" applyNumberFormat="1" applyFill="1" applyBorder="1" applyAlignment="1">
      <alignment/>
    </xf>
    <xf numFmtId="0" fontId="0" fillId="0" borderId="16" xfId="0" applyNumberFormat="1" applyFill="1" applyBorder="1" applyAlignment="1">
      <alignment/>
    </xf>
    <xf numFmtId="0" fontId="0" fillId="0" borderId="17" xfId="0" applyNumberFormat="1" applyFill="1" applyBorder="1" applyAlignment="1">
      <alignment/>
    </xf>
    <xf numFmtId="0" fontId="0" fillId="0" borderId="10" xfId="0" applyFill="1" applyBorder="1" applyAlignment="1">
      <alignment wrapText="1"/>
    </xf>
    <xf numFmtId="0" fontId="0" fillId="0" borderId="10" xfId="0" applyNumberFormat="1" applyFill="1" applyBorder="1" applyAlignment="1">
      <alignment horizontal="center"/>
    </xf>
    <xf numFmtId="0" fontId="1" fillId="0" borderId="10" xfId="0" applyFont="1" applyFill="1" applyBorder="1" applyAlignment="1">
      <alignment horizontal="left" wrapText="1"/>
    </xf>
    <xf numFmtId="0" fontId="41" fillId="0" borderId="10" xfId="0" applyFont="1" applyFill="1" applyBorder="1" applyAlignment="1">
      <alignment horizontal="left" vertical="center" wrapText="1"/>
    </xf>
    <xf numFmtId="0" fontId="0" fillId="0" borderId="10" xfId="0" applyNumberFormat="1" applyFill="1" applyBorder="1" applyAlignment="1">
      <alignment horizontal="center" vertical="center"/>
    </xf>
    <xf numFmtId="0" fontId="0" fillId="0" borderId="10" xfId="0" applyFill="1" applyBorder="1" applyAlignment="1">
      <alignment horizontal="right"/>
    </xf>
    <xf numFmtId="0" fontId="0" fillId="0" borderId="10" xfId="0" applyFill="1" applyBorder="1" applyAlignment="1">
      <alignment horizontal="right" vertical="center"/>
    </xf>
    <xf numFmtId="0" fontId="42" fillId="0" borderId="15" xfId="0" applyFont="1" applyFill="1" applyBorder="1" applyAlignment="1">
      <alignment vertical="center" wrapText="1"/>
    </xf>
    <xf numFmtId="0" fontId="0" fillId="0" borderId="13"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49" fontId="0" fillId="0" borderId="10" xfId="0" applyNumberFormat="1" applyFill="1" applyBorder="1" applyAlignment="1">
      <alignment horizontal="center"/>
    </xf>
    <xf numFmtId="0" fontId="1" fillId="0" borderId="16" xfId="0" applyFont="1" applyFill="1" applyBorder="1" applyAlignment="1">
      <alignment horizontal="left" wrapText="1"/>
    </xf>
    <xf numFmtId="0" fontId="0" fillId="0" borderId="10" xfId="0" applyFont="1" applyFill="1" applyBorder="1" applyAlignment="1">
      <alignment horizontal="right" vertical="center" wrapText="1"/>
    </xf>
    <xf numFmtId="0" fontId="0" fillId="0" borderId="17" xfId="0" applyFont="1" applyFill="1" applyBorder="1" applyAlignment="1">
      <alignment horizontal="left" vertical="center" wrapText="1"/>
    </xf>
    <xf numFmtId="0" fontId="0" fillId="0" borderId="12" xfId="0" applyNumberFormat="1" applyFill="1" applyBorder="1" applyAlignment="1">
      <alignment horizontal="center" vertical="center"/>
    </xf>
    <xf numFmtId="2" fontId="0" fillId="0" borderId="10" xfId="0" applyNumberFormat="1" applyFont="1" applyFill="1" applyBorder="1" applyAlignment="1">
      <alignment horizontal="center" vertical="center"/>
    </xf>
    <xf numFmtId="2" fontId="0" fillId="0" borderId="16" xfId="0" applyNumberFormat="1" applyFill="1" applyBorder="1" applyAlignment="1">
      <alignment horizontal="center" vertical="center"/>
    </xf>
    <xf numFmtId="0" fontId="1" fillId="0" borderId="17" xfId="0" applyFont="1" applyFill="1" applyBorder="1" applyAlignment="1">
      <alignment horizontal="left" vertical="top" wrapText="1"/>
    </xf>
    <xf numFmtId="0" fontId="0" fillId="0" borderId="12" xfId="0" applyNumberFormat="1" applyFill="1" applyBorder="1" applyAlignment="1">
      <alignment horizontal="center" vertical="top"/>
    </xf>
    <xf numFmtId="0" fontId="0" fillId="0" borderId="17" xfId="0" applyFont="1" applyFill="1" applyBorder="1" applyAlignment="1">
      <alignment horizontal="left" vertical="top" wrapText="1"/>
    </xf>
    <xf numFmtId="0" fontId="0" fillId="0" borderId="13" xfId="0" applyFont="1" applyFill="1" applyBorder="1" applyAlignment="1">
      <alignment horizontal="right"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right" vertical="top" wrapText="1"/>
    </xf>
    <xf numFmtId="0" fontId="0" fillId="0" borderId="12" xfId="0" applyNumberFormat="1" applyFill="1" applyBorder="1" applyAlignment="1">
      <alignment horizontal="center"/>
    </xf>
    <xf numFmtId="2" fontId="0" fillId="0" borderId="16" xfId="0" applyNumberFormat="1" applyFill="1" applyBorder="1" applyAlignment="1">
      <alignment horizontal="center"/>
    </xf>
    <xf numFmtId="0" fontId="0" fillId="0" borderId="17" xfId="0" applyFont="1" applyFill="1" applyBorder="1" applyAlignment="1">
      <alignment horizontal="left" wrapText="1"/>
    </xf>
    <xf numFmtId="0" fontId="1" fillId="0" borderId="15" xfId="0" applyFont="1" applyFill="1" applyBorder="1" applyAlignment="1">
      <alignment horizontal="left" wrapText="1"/>
    </xf>
    <xf numFmtId="0" fontId="0" fillId="0" borderId="10" xfId="0" applyNumberFormat="1" applyFill="1" applyBorder="1" applyAlignment="1">
      <alignment/>
    </xf>
    <xf numFmtId="0" fontId="0" fillId="0" borderId="19" xfId="0" applyFill="1" applyBorder="1" applyAlignment="1">
      <alignment horizontal="right" vertical="top"/>
    </xf>
    <xf numFmtId="0" fontId="1" fillId="0" borderId="12" xfId="0" applyFont="1" applyFill="1" applyBorder="1" applyAlignment="1">
      <alignment horizontal="left" vertical="center" wrapText="1"/>
    </xf>
    <xf numFmtId="0" fontId="0" fillId="0" borderId="20" xfId="0" applyFill="1" applyBorder="1" applyAlignment="1">
      <alignment horizontal="center"/>
    </xf>
    <xf numFmtId="2" fontId="1" fillId="0" borderId="12" xfId="0" applyNumberFormat="1" applyFont="1" applyFill="1" applyBorder="1" applyAlignment="1">
      <alignment horizontal="center"/>
    </xf>
    <xf numFmtId="0" fontId="1" fillId="0" borderId="21" xfId="0" applyFont="1" applyFill="1" applyBorder="1" applyAlignment="1">
      <alignment horizontal="center"/>
    </xf>
    <xf numFmtId="2" fontId="0" fillId="0" borderId="12" xfId="0" applyNumberFormat="1" applyFill="1" applyBorder="1" applyAlignment="1">
      <alignment horizontal="center"/>
    </xf>
    <xf numFmtId="2" fontId="0" fillId="0" borderId="20" xfId="0" applyNumberForma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2" fontId="0" fillId="0" borderId="15" xfId="0" applyNumberFormat="1" applyFill="1" applyBorder="1" applyAlignment="1">
      <alignment horizontal="center"/>
    </xf>
    <xf numFmtId="0" fontId="1" fillId="0" borderId="19" xfId="0" applyFont="1" applyFill="1" applyBorder="1" applyAlignment="1">
      <alignment horizontal="left" wrapText="1"/>
    </xf>
    <xf numFmtId="0" fontId="0" fillId="0" borderId="19" xfId="0" applyFill="1" applyBorder="1" applyAlignment="1">
      <alignment horizontal="center"/>
    </xf>
    <xf numFmtId="0" fontId="0" fillId="0" borderId="19" xfId="0" applyFont="1" applyFill="1" applyBorder="1" applyAlignment="1">
      <alignment horizontal="left" wrapText="1"/>
    </xf>
    <xf numFmtId="2" fontId="0" fillId="0" borderId="20" xfId="0" applyNumberFormat="1" applyFill="1" applyBorder="1" applyAlignment="1">
      <alignment horizontal="center" vertical="top"/>
    </xf>
    <xf numFmtId="2" fontId="0" fillId="0" borderId="10" xfId="0" applyNumberFormat="1" applyFill="1" applyBorder="1" applyAlignment="1">
      <alignment horizontal="center" vertical="top"/>
    </xf>
    <xf numFmtId="0" fontId="0" fillId="0" borderId="10" xfId="0" applyFill="1" applyBorder="1" applyAlignment="1">
      <alignment horizontal="center" vertical="top"/>
    </xf>
    <xf numFmtId="2" fontId="0" fillId="0" borderId="13" xfId="0" applyNumberFormat="1" applyFill="1" applyBorder="1" applyAlignment="1">
      <alignment horizontal="center" vertical="top"/>
    </xf>
    <xf numFmtId="0" fontId="0" fillId="0" borderId="17" xfId="0" applyFont="1" applyFill="1" applyBorder="1" applyAlignment="1">
      <alignment horizontal="right" vertical="top" wrapText="1"/>
    </xf>
    <xf numFmtId="0" fontId="0" fillId="0" borderId="17" xfId="0" applyFill="1" applyBorder="1" applyAlignment="1">
      <alignment vertical="top" wrapText="1"/>
    </xf>
    <xf numFmtId="2" fontId="0" fillId="0" borderId="13" xfId="0" applyNumberFormat="1" applyFill="1" applyBorder="1" applyAlignment="1">
      <alignment horizontal="center"/>
    </xf>
    <xf numFmtId="0" fontId="0" fillId="0" borderId="12" xfId="0" applyNumberFormat="1" applyFont="1" applyFill="1" applyBorder="1" applyAlignment="1">
      <alignment horizontal="center"/>
    </xf>
    <xf numFmtId="0" fontId="0" fillId="0" borderId="10" xfId="0" applyFont="1" applyFill="1" applyBorder="1" applyAlignment="1">
      <alignment horizontal="center"/>
    </xf>
    <xf numFmtId="2" fontId="0" fillId="0" borderId="10" xfId="0" applyNumberFormat="1" applyFont="1" applyFill="1" applyBorder="1" applyAlignment="1">
      <alignment horizontal="center"/>
    </xf>
    <xf numFmtId="2" fontId="0" fillId="0" borderId="13" xfId="0" applyNumberFormat="1" applyFont="1" applyFill="1" applyBorder="1" applyAlignment="1">
      <alignment horizontal="center"/>
    </xf>
    <xf numFmtId="0" fontId="1" fillId="0" borderId="17" xfId="0" applyFont="1" applyFill="1" applyBorder="1" applyAlignment="1">
      <alignment horizontal="left" wrapText="1"/>
    </xf>
    <xf numFmtId="0" fontId="0" fillId="0" borderId="10" xfId="0" applyNumberFormat="1" applyFont="1" applyFill="1" applyBorder="1" applyAlignment="1">
      <alignment horizontal="center"/>
    </xf>
    <xf numFmtId="2" fontId="1" fillId="0" borderId="10" xfId="0" applyNumberFormat="1" applyFont="1" applyFill="1" applyBorder="1" applyAlignment="1">
      <alignment horizontal="center"/>
    </xf>
    <xf numFmtId="0" fontId="0" fillId="0" borderId="15" xfId="0" applyFont="1" applyFill="1" applyBorder="1" applyAlignment="1">
      <alignment vertical="top"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2" fontId="0" fillId="0" borderId="13" xfId="0" applyNumberFormat="1" applyFont="1" applyFill="1" applyBorder="1" applyAlignment="1">
      <alignment horizontal="center" vertical="center"/>
    </xf>
    <xf numFmtId="0" fontId="0" fillId="0" borderId="10" xfId="0" applyFont="1" applyFill="1" applyBorder="1" applyAlignment="1">
      <alignment horizontal="left" vertical="top" wrapText="1"/>
    </xf>
    <xf numFmtId="0" fontId="0" fillId="0" borderId="10" xfId="0" applyNumberFormat="1" applyFont="1" applyFill="1" applyBorder="1" applyAlignment="1">
      <alignment horizontal="center" vertical="top" wrapText="1"/>
    </xf>
    <xf numFmtId="0" fontId="0" fillId="0" borderId="10" xfId="0" applyFont="1" applyFill="1" applyBorder="1" applyAlignment="1">
      <alignment horizontal="center" vertical="top" wrapText="1"/>
    </xf>
    <xf numFmtId="2" fontId="0" fillId="0" borderId="13" xfId="0" applyNumberFormat="1" applyFont="1" applyFill="1" applyBorder="1" applyAlignment="1">
      <alignment horizontal="center" vertical="top"/>
    </xf>
    <xf numFmtId="0" fontId="1" fillId="0" borderId="10" xfId="0" applyNumberFormat="1" applyFont="1" applyFill="1" applyBorder="1" applyAlignment="1">
      <alignment horizontal="center"/>
    </xf>
    <xf numFmtId="0" fontId="1" fillId="0" borderId="10" xfId="0" applyFont="1" applyFill="1" applyBorder="1" applyAlignment="1">
      <alignment horizontal="center"/>
    </xf>
    <xf numFmtId="0" fontId="0" fillId="0" borderId="13" xfId="0" applyFill="1" applyBorder="1" applyAlignment="1">
      <alignment/>
    </xf>
    <xf numFmtId="49" fontId="0" fillId="0" borderId="10" xfId="0" applyNumberFormat="1" applyFont="1" applyFill="1" applyBorder="1" applyAlignment="1">
      <alignment vertical="center" wrapText="1"/>
    </xf>
    <xf numFmtId="0" fontId="0" fillId="0" borderId="15" xfId="0" applyNumberFormat="1" applyFont="1" applyFill="1" applyBorder="1" applyAlignment="1">
      <alignment vertical="center"/>
    </xf>
    <xf numFmtId="0" fontId="0" fillId="0" borderId="10" xfId="0" applyNumberFormat="1" applyFont="1" applyFill="1" applyBorder="1" applyAlignment="1">
      <alignment horizontal="center" vertical="center"/>
    </xf>
    <xf numFmtId="0" fontId="0" fillId="0" borderId="15" xfId="0" applyFill="1" applyBorder="1" applyAlignment="1">
      <alignment wrapText="1"/>
    </xf>
    <xf numFmtId="0" fontId="0" fillId="0" borderId="22" xfId="0" applyNumberFormat="1" applyFont="1" applyFill="1" applyBorder="1" applyAlignment="1">
      <alignment horizontal="center"/>
    </xf>
    <xf numFmtId="0" fontId="0" fillId="0" borderId="15" xfId="0" applyFont="1" applyFill="1" applyBorder="1" applyAlignment="1">
      <alignment horizontal="center"/>
    </xf>
    <xf numFmtId="0" fontId="0" fillId="0" borderId="13" xfId="0" applyFont="1" applyFill="1" applyBorder="1" applyAlignment="1">
      <alignment horizontal="center" vertical="center"/>
    </xf>
    <xf numFmtId="0" fontId="0" fillId="0" borderId="22" xfId="0" applyFont="1" applyFill="1" applyBorder="1" applyAlignment="1">
      <alignment horizontal="center"/>
    </xf>
    <xf numFmtId="0" fontId="0" fillId="0" borderId="10" xfId="0" applyNumberFormat="1" applyFont="1" applyFill="1" applyBorder="1" applyAlignment="1">
      <alignment horizontal="center"/>
    </xf>
    <xf numFmtId="0" fontId="0" fillId="0" borderId="10" xfId="0" applyFont="1" applyFill="1" applyBorder="1" applyAlignment="1">
      <alignment horizontal="center" vertical="top" wrapText="1"/>
    </xf>
    <xf numFmtId="0" fontId="0" fillId="0" borderId="12" xfId="0" applyFont="1" applyFill="1" applyBorder="1" applyAlignment="1">
      <alignment horizontal="left" wrapText="1"/>
    </xf>
    <xf numFmtId="0" fontId="0" fillId="0" borderId="22"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22"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0" fontId="0" fillId="0" borderId="15" xfId="0" applyNumberFormat="1" applyFont="1" applyFill="1" applyBorder="1" applyAlignment="1">
      <alignment/>
    </xf>
    <xf numFmtId="0" fontId="0" fillId="0" borderId="10" xfId="0" applyNumberFormat="1" applyFont="1" applyFill="1" applyBorder="1" applyAlignment="1">
      <alignment/>
    </xf>
    <xf numFmtId="0" fontId="0" fillId="0" borderId="12" xfId="0" applyFill="1" applyBorder="1" applyAlignment="1">
      <alignment horizontal="center"/>
    </xf>
    <xf numFmtId="0" fontId="0" fillId="0" borderId="12" xfId="0" applyFill="1" applyBorder="1" applyAlignment="1">
      <alignment wrapText="1"/>
    </xf>
    <xf numFmtId="0" fontId="0" fillId="0" borderId="12" xfId="0" applyFont="1" applyFill="1" applyBorder="1" applyAlignment="1">
      <alignment horizontal="center"/>
    </xf>
    <xf numFmtId="0" fontId="5" fillId="0" borderId="0" xfId="0" applyFont="1" applyFill="1" applyAlignment="1">
      <alignment/>
    </xf>
    <xf numFmtId="0" fontId="0" fillId="0" borderId="20" xfId="0" applyFill="1" applyBorder="1" applyAlignment="1">
      <alignment horizontal="center" vertical="center" wrapText="1"/>
    </xf>
    <xf numFmtId="0" fontId="0" fillId="0" borderId="20" xfId="0" applyFill="1" applyBorder="1" applyAlignment="1">
      <alignment vertical="center" wrapText="1"/>
    </xf>
    <xf numFmtId="0" fontId="0" fillId="0" borderId="20" xfId="0" applyNumberFormat="1" applyFont="1" applyFill="1" applyBorder="1" applyAlignment="1">
      <alignment horizontal="center" vertical="center"/>
    </xf>
    <xf numFmtId="0" fontId="0" fillId="0" borderId="12" xfId="0" applyFont="1" applyFill="1" applyBorder="1" applyAlignment="1">
      <alignment horizontal="center" vertical="center"/>
    </xf>
    <xf numFmtId="2" fontId="11" fillId="0" borderId="0" xfId="0" applyNumberFormat="1" applyFont="1" applyFill="1" applyAlignment="1">
      <alignment/>
    </xf>
    <xf numFmtId="0" fontId="0" fillId="0" borderId="16" xfId="0" applyNumberFormat="1" applyFont="1" applyFill="1" applyBorder="1" applyAlignment="1">
      <alignment/>
    </xf>
    <xf numFmtId="0" fontId="0" fillId="0" borderId="17" xfId="0" applyNumberFormat="1" applyFont="1" applyFill="1" applyBorder="1" applyAlignment="1">
      <alignment/>
    </xf>
    <xf numFmtId="0" fontId="1" fillId="0" borderId="10" xfId="0" applyNumberFormat="1" applyFont="1" applyFill="1" applyBorder="1" applyAlignment="1">
      <alignment vertical="center" wrapText="1"/>
    </xf>
    <xf numFmtId="0" fontId="39" fillId="0" borderId="10" xfId="0" applyNumberFormat="1" applyFont="1" applyFill="1" applyBorder="1" applyAlignment="1">
      <alignment horizontal="center"/>
    </xf>
    <xf numFmtId="0" fontId="39" fillId="0" borderId="10" xfId="0" applyFont="1" applyFill="1" applyBorder="1" applyAlignment="1">
      <alignment horizontal="center"/>
    </xf>
    <xf numFmtId="0" fontId="0" fillId="0" borderId="10" xfId="0" applyFont="1" applyFill="1" applyBorder="1" applyAlignment="1">
      <alignment horizontal="center" wrapText="1"/>
    </xf>
    <xf numFmtId="0" fontId="39" fillId="0" borderId="23" xfId="0" applyNumberFormat="1" applyFont="1" applyFill="1" applyBorder="1" applyAlignment="1">
      <alignment horizontal="center"/>
    </xf>
    <xf numFmtId="0" fontId="39" fillId="0" borderId="23" xfId="0" applyFont="1" applyFill="1" applyBorder="1" applyAlignment="1">
      <alignment horizontal="center"/>
    </xf>
    <xf numFmtId="0" fontId="39" fillId="0" borderId="0" xfId="0" applyFont="1" applyFill="1" applyBorder="1" applyAlignment="1">
      <alignment horizontal="center"/>
    </xf>
    <xf numFmtId="2" fontId="22" fillId="0" borderId="10" xfId="0" applyNumberFormat="1" applyFont="1" applyFill="1" applyBorder="1" applyAlignment="1">
      <alignment horizontal="center" vertical="top"/>
    </xf>
    <xf numFmtId="0" fontId="39" fillId="0" borderId="10" xfId="0" applyFont="1" applyFill="1" applyBorder="1" applyAlignment="1">
      <alignment horizontal="center" wrapText="1"/>
    </xf>
    <xf numFmtId="0" fontId="39" fillId="0" borderId="10" xfId="0" applyFont="1" applyFill="1" applyBorder="1" applyAlignment="1">
      <alignment wrapText="1"/>
    </xf>
    <xf numFmtId="0" fontId="0" fillId="0" borderId="0" xfId="0" applyFill="1" applyAlignment="1">
      <alignment wrapText="1"/>
    </xf>
    <xf numFmtId="0" fontId="0" fillId="0" borderId="23" xfId="0" applyNumberFormat="1" applyFill="1" applyBorder="1" applyAlignment="1">
      <alignment/>
    </xf>
    <xf numFmtId="0" fontId="1" fillId="0" borderId="10" xfId="0" applyFont="1" applyFill="1" applyBorder="1" applyAlignment="1">
      <alignment vertical="top"/>
    </xf>
    <xf numFmtId="2" fontId="1" fillId="0" borderId="0" xfId="0" applyNumberFormat="1" applyFont="1" applyFill="1" applyAlignment="1">
      <alignment horizontal="center"/>
    </xf>
    <xf numFmtId="0" fontId="1" fillId="0" borderId="0" xfId="0" applyFont="1" applyFill="1" applyBorder="1" applyAlignment="1" quotePrefix="1">
      <alignment horizontal="center"/>
    </xf>
    <xf numFmtId="0" fontId="1" fillId="0" borderId="17" xfId="0" applyFont="1" applyFill="1" applyBorder="1" applyAlignment="1">
      <alignment horizontal="center"/>
    </xf>
    <xf numFmtId="0" fontId="1" fillId="0" borderId="19" xfId="0" applyFont="1" applyFill="1" applyBorder="1" applyAlignment="1">
      <alignment horizontal="center"/>
    </xf>
    <xf numFmtId="0" fontId="17" fillId="0" borderId="10" xfId="0" applyFont="1" applyFill="1" applyBorder="1" applyAlignment="1">
      <alignment horizontal="center" vertical="top" wrapText="1"/>
    </xf>
    <xf numFmtId="0" fontId="17" fillId="0" borderId="10" xfId="0" applyFont="1" applyFill="1" applyBorder="1" applyAlignment="1">
      <alignment/>
    </xf>
    <xf numFmtId="0" fontId="17" fillId="0" borderId="10" xfId="0" applyFont="1" applyFill="1" applyBorder="1" applyAlignment="1">
      <alignment horizontal="left" vertical="top" wrapText="1"/>
    </xf>
    <xf numFmtId="0" fontId="17" fillId="0" borderId="10" xfId="0" applyNumberFormat="1" applyFont="1" applyFill="1" applyBorder="1" applyAlignment="1">
      <alignment horizontal="center" vertical="top" wrapText="1"/>
    </xf>
    <xf numFmtId="2" fontId="17" fillId="0" borderId="10" xfId="0" applyNumberFormat="1" applyFont="1" applyFill="1" applyBorder="1" applyAlignment="1">
      <alignment horizontal="center" vertical="top" wrapText="1"/>
    </xf>
    <xf numFmtId="190" fontId="17" fillId="0" borderId="10" xfId="0" applyNumberFormat="1" applyFont="1" applyFill="1" applyBorder="1" applyAlignment="1">
      <alignment horizontal="center" vertical="top" wrapText="1"/>
    </xf>
    <xf numFmtId="0" fontId="17" fillId="0" borderId="0" xfId="0" applyFont="1" applyFill="1" applyAlignment="1">
      <alignment vertical="center" wrapText="1"/>
    </xf>
    <xf numFmtId="2" fontId="17" fillId="0" borderId="10" xfId="0" applyNumberFormat="1" applyFont="1" applyFill="1" applyBorder="1" applyAlignment="1">
      <alignment horizontal="center" vertical="top"/>
    </xf>
    <xf numFmtId="0" fontId="17" fillId="32" borderId="10" xfId="0" applyNumberFormat="1" applyFont="1" applyFill="1" applyBorder="1" applyAlignment="1">
      <alignment horizontal="center" vertical="top" wrapText="1"/>
    </xf>
    <xf numFmtId="0" fontId="17" fillId="0" borderId="10" xfId="0" applyFont="1" applyFill="1" applyBorder="1" applyAlignment="1">
      <alignment horizontal="center" vertical="center" wrapText="1"/>
    </xf>
    <xf numFmtId="0" fontId="17" fillId="0" borderId="10" xfId="0" applyFont="1" applyFill="1" applyBorder="1" applyAlignment="1">
      <alignment vertical="center"/>
    </xf>
    <xf numFmtId="0" fontId="17" fillId="0" borderId="10" xfId="0" applyFont="1" applyFill="1" applyBorder="1" applyAlignment="1">
      <alignment horizontal="left" vertical="center" wrapText="1"/>
    </xf>
    <xf numFmtId="0" fontId="17" fillId="0" borderId="15" xfId="0" applyFont="1" applyFill="1" applyBorder="1" applyAlignment="1">
      <alignment vertical="top" wrapText="1"/>
    </xf>
    <xf numFmtId="1" fontId="17" fillId="0" borderId="10" xfId="0" applyNumberFormat="1" applyFont="1" applyFill="1" applyBorder="1" applyAlignment="1">
      <alignment horizontal="center" vertical="top" wrapText="1"/>
    </xf>
    <xf numFmtId="2" fontId="2" fillId="0" borderId="10" xfId="0" applyNumberFormat="1" applyFont="1" applyFill="1" applyBorder="1" applyAlignment="1">
      <alignment horizontal="center" vertical="center"/>
    </xf>
    <xf numFmtId="0" fontId="17" fillId="0" borderId="10" xfId="0" applyFont="1" applyFill="1" applyBorder="1" applyAlignment="1">
      <alignment horizontal="center" vertical="top"/>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0" fontId="17" fillId="0" borderId="10" xfId="0" applyFont="1" applyFill="1" applyBorder="1" applyAlignment="1">
      <alignment horizontal="left" vertical="top"/>
    </xf>
    <xf numFmtId="0" fontId="2" fillId="0" borderId="15" xfId="0" applyFont="1" applyFill="1" applyBorder="1" applyAlignment="1">
      <alignment horizontal="left"/>
    </xf>
    <xf numFmtId="0" fontId="17" fillId="0" borderId="10" xfId="0" applyFont="1" applyFill="1" applyBorder="1" applyAlignment="1">
      <alignment horizontal="center"/>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17" fillId="0" borderId="10" xfId="0" applyFont="1" applyFill="1" applyBorder="1" applyAlignment="1">
      <alignment vertical="top" wrapText="1"/>
    </xf>
    <xf numFmtId="0" fontId="17" fillId="0" borderId="13"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2" fontId="0" fillId="0" borderId="0" xfId="0" applyNumberFormat="1" applyFont="1" applyFill="1" applyBorder="1" applyAlignment="1">
      <alignment horizontal="center" vertical="center"/>
    </xf>
    <xf numFmtId="0" fontId="17" fillId="0" borderId="10" xfId="0" applyFont="1" applyFill="1" applyBorder="1" applyAlignment="1">
      <alignment vertical="top"/>
    </xf>
    <xf numFmtId="0" fontId="2" fillId="0" borderId="10" xfId="0" applyFont="1" applyFill="1" applyBorder="1" applyAlignment="1">
      <alignment horizontal="left"/>
    </xf>
    <xf numFmtId="1" fontId="17" fillId="0" borderId="15" xfId="0" applyNumberFormat="1" applyFont="1" applyFill="1" applyBorder="1" applyAlignment="1">
      <alignment vertical="top" wrapText="1"/>
    </xf>
    <xf numFmtId="1" fontId="17" fillId="0" borderId="16" xfId="0" applyNumberFormat="1" applyFont="1" applyFill="1" applyBorder="1" applyAlignment="1">
      <alignment vertical="top" wrapText="1"/>
    </xf>
    <xf numFmtId="1" fontId="17" fillId="0" borderId="17" xfId="0" applyNumberFormat="1" applyFont="1" applyFill="1" applyBorder="1" applyAlignment="1">
      <alignment vertical="top" wrapText="1"/>
    </xf>
    <xf numFmtId="0" fontId="17" fillId="0" borderId="12" xfId="0" applyFont="1" applyFill="1" applyBorder="1" applyAlignment="1">
      <alignment horizontal="center" vertical="top"/>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42" fillId="0" borderId="0" xfId="0" applyFont="1" applyFill="1" applyBorder="1" applyAlignment="1">
      <alignment vertical="center" wrapText="1"/>
    </xf>
    <xf numFmtId="0" fontId="1" fillId="0" borderId="0" xfId="0" applyFont="1" applyFill="1" applyBorder="1" applyAlignment="1">
      <alignment horizontal="left"/>
    </xf>
    <xf numFmtId="0" fontId="17" fillId="0" borderId="10" xfId="0" applyFont="1" applyFill="1" applyBorder="1" applyAlignment="1">
      <alignment horizontal="left" vertical="center"/>
    </xf>
    <xf numFmtId="0" fontId="0" fillId="0" borderId="0" xfId="0" applyFill="1" applyBorder="1" applyAlignment="1">
      <alignment wrapText="1"/>
    </xf>
    <xf numFmtId="0" fontId="0" fillId="0" borderId="0" xfId="0" applyNumberFormat="1" applyFill="1" applyBorder="1" applyAlignment="1">
      <alignment horizontal="center"/>
    </xf>
    <xf numFmtId="0" fontId="2" fillId="0" borderId="10" xfId="0" applyFont="1" applyFill="1" applyBorder="1" applyAlignment="1">
      <alignment horizontal="center" vertical="top"/>
    </xf>
    <xf numFmtId="0" fontId="2" fillId="0" borderId="10" xfId="0" applyFont="1" applyFill="1" applyBorder="1" applyAlignment="1">
      <alignment/>
    </xf>
    <xf numFmtId="0" fontId="2" fillId="0" borderId="10" xfId="0" applyNumberFormat="1" applyFont="1" applyFill="1" applyBorder="1" applyAlignment="1">
      <alignment vertical="center" wrapText="1"/>
    </xf>
    <xf numFmtId="0" fontId="2" fillId="0" borderId="10" xfId="0" applyFont="1" applyFill="1" applyBorder="1" applyAlignment="1">
      <alignment vertical="top"/>
    </xf>
    <xf numFmtId="0" fontId="2" fillId="0" borderId="17" xfId="0" applyFont="1" applyFill="1" applyBorder="1" applyAlignment="1">
      <alignment horizontal="center" vertical="top"/>
    </xf>
    <xf numFmtId="0" fontId="17" fillId="0" borderId="12" xfId="0" applyFont="1" applyFill="1" applyBorder="1" applyAlignment="1">
      <alignment horizontal="center"/>
    </xf>
    <xf numFmtId="0" fontId="17" fillId="0" borderId="15" xfId="0" applyFont="1" applyFill="1" applyBorder="1" applyAlignment="1">
      <alignment vertical="top"/>
    </xf>
    <xf numFmtId="0" fontId="17" fillId="0" borderId="16" xfId="0" applyFont="1" applyFill="1" applyBorder="1" applyAlignment="1">
      <alignment vertical="top"/>
    </xf>
    <xf numFmtId="10" fontId="17" fillId="0" borderId="10" xfId="0" applyNumberFormat="1" applyFont="1" applyFill="1" applyBorder="1" applyAlignment="1">
      <alignment horizontal="center" vertical="top"/>
    </xf>
    <xf numFmtId="0" fontId="17" fillId="0" borderId="17" xfId="0" applyFont="1" applyFill="1" applyBorder="1" applyAlignment="1">
      <alignment horizontal="center" vertical="top"/>
    </xf>
    <xf numFmtId="0" fontId="17" fillId="0" borderId="13" xfId="0" applyFont="1" applyFill="1" applyBorder="1" applyAlignment="1">
      <alignment horizontal="left"/>
    </xf>
    <xf numFmtId="10" fontId="17" fillId="0" borderId="18" xfId="0" applyNumberFormat="1" applyFont="1" applyFill="1" applyBorder="1" applyAlignment="1">
      <alignment horizontal="center" vertical="top"/>
    </xf>
    <xf numFmtId="0" fontId="17" fillId="0" borderId="15" xfId="0" applyFont="1" applyFill="1" applyBorder="1" applyAlignment="1">
      <alignment horizontal="left" vertical="center"/>
    </xf>
    <xf numFmtId="2" fontId="17" fillId="0" borderId="10" xfId="0" applyNumberFormat="1" applyFont="1" applyFill="1" applyBorder="1" applyAlignment="1">
      <alignment vertical="center"/>
    </xf>
    <xf numFmtId="0" fontId="17" fillId="0" borderId="17" xfId="0" applyFont="1" applyFill="1" applyBorder="1" applyAlignment="1">
      <alignment horizontal="center" vertical="center"/>
    </xf>
    <xf numFmtId="0" fontId="17" fillId="0" borderId="17" xfId="0" applyFont="1" applyFill="1" applyBorder="1" applyAlignment="1">
      <alignment horizontal="center" vertical="top" wrapText="1"/>
    </xf>
    <xf numFmtId="2" fontId="17" fillId="0" borderId="10" xfId="0" applyNumberFormat="1" applyFont="1" applyFill="1" applyBorder="1" applyAlignment="1">
      <alignment vertical="top"/>
    </xf>
    <xf numFmtId="0" fontId="2" fillId="0" borderId="10" xfId="0" applyFont="1" applyFill="1" applyBorder="1" applyAlignment="1">
      <alignment vertical="center"/>
    </xf>
    <xf numFmtId="0" fontId="2" fillId="0" borderId="10" xfId="0" applyFont="1" applyFill="1" applyBorder="1" applyAlignment="1">
      <alignment horizontal="left" vertical="center"/>
    </xf>
    <xf numFmtId="0" fontId="1"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top"/>
    </xf>
    <xf numFmtId="0" fontId="1" fillId="0" borderId="0" xfId="0" applyFont="1" applyFill="1" applyBorder="1" applyAlignment="1">
      <alignment vertical="top"/>
    </xf>
    <xf numFmtId="0" fontId="0" fillId="0" borderId="0" xfId="0" applyFill="1" applyAlignment="1">
      <alignment horizontal="center" vertical="top"/>
    </xf>
    <xf numFmtId="2" fontId="0" fillId="0" borderId="0" xfId="0" applyNumberFormat="1" applyFill="1" applyAlignment="1">
      <alignment horizontal="center" vertical="top"/>
    </xf>
    <xf numFmtId="0" fontId="6" fillId="0" borderId="0" xfId="0" applyFont="1" applyFill="1" applyBorder="1" applyAlignment="1" quotePrefix="1">
      <alignment vertical="center" wrapText="1"/>
    </xf>
    <xf numFmtId="0" fontId="39" fillId="0" borderId="0" xfId="0" applyFont="1" applyFill="1" applyBorder="1" applyAlignment="1">
      <alignment horizontal="left" vertical="center"/>
    </xf>
    <xf numFmtId="0" fontId="5" fillId="0" borderId="0" xfId="0" applyFont="1" applyFill="1" applyAlignment="1" quotePrefix="1">
      <alignment/>
    </xf>
    <xf numFmtId="0" fontId="0" fillId="0" borderId="0" xfId="0" applyFill="1" applyBorder="1" applyAlignment="1">
      <alignment horizontal="right"/>
    </xf>
    <xf numFmtId="0" fontId="1" fillId="0" borderId="10" xfId="0" applyFont="1" applyFill="1" applyBorder="1" applyAlignment="1">
      <alignment horizont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7" fillId="0" borderId="12" xfId="0" applyFont="1" applyFill="1" applyBorder="1" applyAlignment="1">
      <alignment horizontal="center" vertical="center"/>
    </xf>
    <xf numFmtId="49" fontId="0" fillId="0" borderId="14" xfId="0" applyNumberFormat="1" applyFont="1" applyFill="1" applyBorder="1" applyAlignment="1">
      <alignment vertical="center" wrapText="1"/>
    </xf>
    <xf numFmtId="49" fontId="0" fillId="0" borderId="0" xfId="0" applyNumberFormat="1" applyFont="1" applyFill="1" applyAlignment="1">
      <alignment vertical="center" wrapText="1"/>
    </xf>
    <xf numFmtId="0" fontId="17" fillId="0" borderId="15" xfId="0" applyFont="1" applyFill="1" applyBorder="1" applyAlignment="1">
      <alignment vertical="center"/>
    </xf>
    <xf numFmtId="0" fontId="17" fillId="0" borderId="16" xfId="0" applyFont="1" applyFill="1" applyBorder="1" applyAlignment="1">
      <alignment vertical="center"/>
    </xf>
    <xf numFmtId="10" fontId="17" fillId="0" borderId="10" xfId="0" applyNumberFormat="1" applyFont="1" applyFill="1" applyBorder="1" applyAlignment="1">
      <alignment horizontal="center" vertical="center"/>
    </xf>
    <xf numFmtId="2" fontId="17" fillId="0" borderId="16" xfId="0" applyNumberFormat="1" applyFont="1" applyFill="1" applyBorder="1" applyAlignment="1">
      <alignment horizontal="center" vertical="center"/>
    </xf>
    <xf numFmtId="2" fontId="17" fillId="0" borderId="10" xfId="0" applyNumberFormat="1" applyFont="1" applyFill="1" applyBorder="1" applyAlignment="1">
      <alignment vertical="center" wrapText="1"/>
    </xf>
    <xf numFmtId="0" fontId="0" fillId="0" borderId="14" xfId="0" applyFont="1" applyFill="1" applyBorder="1" applyAlignment="1">
      <alignment vertical="center"/>
    </xf>
    <xf numFmtId="0" fontId="2" fillId="0" borderId="12" xfId="0" applyFont="1" applyFill="1" applyBorder="1" applyAlignment="1">
      <alignment horizontal="left" vertical="center" wrapText="1"/>
    </xf>
    <xf numFmtId="0" fontId="2" fillId="0" borderId="12" xfId="0" applyFont="1" applyFill="1" applyBorder="1" applyAlignment="1">
      <alignment vertical="center"/>
    </xf>
    <xf numFmtId="0" fontId="1" fillId="0" borderId="20" xfId="0" applyFont="1" applyFill="1" applyBorder="1" applyAlignment="1">
      <alignment horizontal="left" vertical="center" wrapText="1"/>
    </xf>
    <xf numFmtId="0" fontId="1" fillId="0" borderId="23" xfId="0" applyFont="1" applyFill="1" applyBorder="1" applyAlignment="1">
      <alignment horizontal="center" vertical="center"/>
    </xf>
    <xf numFmtId="0" fontId="1" fillId="0" borderId="23" xfId="0" applyFont="1" applyFill="1" applyBorder="1" applyAlignment="1">
      <alignment vertical="center"/>
    </xf>
    <xf numFmtId="2" fontId="1" fillId="0" borderId="24" xfId="0" applyNumberFormat="1" applyFont="1" applyFill="1" applyBorder="1" applyAlignment="1">
      <alignment horizontal="center" vertical="center"/>
    </xf>
    <xf numFmtId="0" fontId="0" fillId="0" borderId="0" xfId="0" applyFill="1" applyAlignment="1">
      <alignment horizontal="right" vertical="top"/>
    </xf>
    <xf numFmtId="0" fontId="0" fillId="0" borderId="0" xfId="0" applyFill="1" applyAlignment="1">
      <alignment horizontal="right"/>
    </xf>
    <xf numFmtId="0" fontId="40" fillId="0" borderId="0" xfId="0" applyFont="1" applyFill="1" applyAlignment="1">
      <alignment horizontal="center"/>
    </xf>
    <xf numFmtId="0" fontId="1" fillId="0" borderId="12" xfId="0" applyNumberFormat="1" applyFont="1" applyFill="1" applyBorder="1" applyAlignment="1">
      <alignment horizontal="center" vertical="center" wrapText="1"/>
    </xf>
    <xf numFmtId="0" fontId="1" fillId="0" borderId="10" xfId="0" applyFont="1" applyFill="1" applyBorder="1" applyAlignment="1">
      <alignment horizontal="left"/>
    </xf>
    <xf numFmtId="0" fontId="0" fillId="0" borderId="10" xfId="0" applyNumberFormat="1" applyFill="1" applyBorder="1" applyAlignment="1">
      <alignment horizontal="left"/>
    </xf>
    <xf numFmtId="2" fontId="0" fillId="0" borderId="10" xfId="0" applyNumberFormat="1" applyFill="1" applyBorder="1" applyAlignment="1">
      <alignment/>
    </xf>
    <xf numFmtId="0" fontId="0" fillId="0" borderId="10" xfId="0" applyFont="1" applyFill="1" applyBorder="1" applyAlignment="1">
      <alignment horizontal="left"/>
    </xf>
    <xf numFmtId="0" fontId="0" fillId="0" borderId="15" xfId="0" applyNumberFormat="1" applyFill="1" applyBorder="1" applyAlignment="1">
      <alignment vertical="center"/>
    </xf>
    <xf numFmtId="0" fontId="0" fillId="0" borderId="16" xfId="0" applyNumberFormat="1" applyFill="1" applyBorder="1" applyAlignment="1">
      <alignment vertical="center"/>
    </xf>
    <xf numFmtId="0" fontId="0" fillId="0" borderId="17" xfId="0" applyNumberFormat="1" applyFill="1" applyBorder="1" applyAlignment="1">
      <alignment vertical="center"/>
    </xf>
    <xf numFmtId="0" fontId="0" fillId="0" borderId="19" xfId="0" applyFill="1" applyBorder="1" applyAlignment="1">
      <alignment horizontal="center" vertical="center"/>
    </xf>
    <xf numFmtId="0" fontId="0" fillId="0" borderId="10" xfId="0" applyFill="1" applyBorder="1" applyAlignment="1">
      <alignment horizontal="left"/>
    </xf>
    <xf numFmtId="0" fontId="0" fillId="0" borderId="17" xfId="0" applyNumberFormat="1" applyFill="1" applyBorder="1" applyAlignment="1">
      <alignment horizontal="left"/>
    </xf>
    <xf numFmtId="0" fontId="44" fillId="0" borderId="14" xfId="0" applyFont="1" applyFill="1" applyBorder="1" applyAlignment="1">
      <alignment vertical="center" wrapText="1"/>
    </xf>
    <xf numFmtId="0" fontId="11" fillId="0" borderId="0" xfId="0" applyFont="1" applyFill="1" applyBorder="1" applyAlignment="1">
      <alignment vertical="center" wrapText="1"/>
    </xf>
    <xf numFmtId="0" fontId="0" fillId="0" borderId="17" xfId="0" applyNumberFormat="1" applyFill="1" applyBorder="1" applyAlignment="1">
      <alignment horizontal="left" vertical="center"/>
    </xf>
    <xf numFmtId="0" fontId="0" fillId="0" borderId="17" xfId="0" applyFill="1" applyBorder="1" applyAlignment="1">
      <alignment horizontal="center" vertical="center"/>
    </xf>
    <xf numFmtId="0" fontId="5" fillId="0" borderId="14" xfId="0" applyFont="1" applyFill="1" applyBorder="1" applyAlignment="1">
      <alignment vertical="center"/>
    </xf>
    <xf numFmtId="0" fontId="39" fillId="0" borderId="10" xfId="0" applyFont="1" applyFill="1" applyBorder="1" applyAlignment="1">
      <alignment vertical="center"/>
    </xf>
    <xf numFmtId="0" fontId="39" fillId="0" borderId="10" xfId="0" applyFont="1" applyFill="1" applyBorder="1" applyAlignment="1">
      <alignment horizontal="left" vertical="center"/>
    </xf>
    <xf numFmtId="0" fontId="22" fillId="0" borderId="10" xfId="0" applyNumberFormat="1" applyFont="1" applyFill="1" applyBorder="1" applyAlignment="1">
      <alignment horizontal="left" vertical="center"/>
    </xf>
    <xf numFmtId="0" fontId="0" fillId="0" borderId="0" xfId="0" applyNumberFormat="1" applyFill="1" applyBorder="1" applyAlignment="1">
      <alignment/>
    </xf>
    <xf numFmtId="2" fontId="45" fillId="0" borderId="0" xfId="0" applyNumberFormat="1" applyFont="1" applyFill="1" applyBorder="1" applyAlignment="1">
      <alignment horizontal="center" vertical="center" wrapText="1"/>
    </xf>
    <xf numFmtId="0" fontId="17" fillId="0" borderId="10" xfId="0" applyFont="1" applyFill="1" applyBorder="1" applyAlignment="1">
      <alignment horizontal="left" vertical="center"/>
    </xf>
    <xf numFmtId="1" fontId="2" fillId="0" borderId="10" xfId="0" applyNumberFormat="1" applyFont="1" applyFill="1" applyBorder="1" applyAlignment="1">
      <alignment horizontal="center" vertical="center"/>
    </xf>
    <xf numFmtId="0" fontId="5" fillId="0" borderId="14" xfId="0" applyFont="1" applyFill="1" applyBorder="1" applyAlignment="1">
      <alignment vertical="center" wrapText="1"/>
    </xf>
    <xf numFmtId="0" fontId="0"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2" fillId="0" borderId="1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NumberForma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1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0" xfId="0" applyFont="1" applyFill="1" applyAlignment="1">
      <alignment horizontal="center" vertical="center"/>
    </xf>
    <xf numFmtId="0" fontId="0" fillId="0" borderId="0" xfId="0" applyFont="1" applyFill="1" applyAlignment="1">
      <alignment horizontal="center"/>
    </xf>
    <xf numFmtId="0" fontId="0" fillId="0" borderId="10" xfId="0" applyFont="1" applyFill="1" applyBorder="1" applyAlignment="1">
      <alignment horizontal="center"/>
    </xf>
    <xf numFmtId="0" fontId="0" fillId="0" borderId="10" xfId="0" applyFont="1" applyFill="1" applyBorder="1" applyAlignment="1" quotePrefix="1">
      <alignment horizontal="center" vertical="center"/>
    </xf>
    <xf numFmtId="2" fontId="0" fillId="0" borderId="10" xfId="0" applyNumberFormat="1" applyFont="1" applyFill="1" applyBorder="1" applyAlignment="1" quotePrefix="1">
      <alignment horizontal="center" vertical="center"/>
    </xf>
    <xf numFmtId="0" fontId="0" fillId="0" borderId="12" xfId="0" applyFont="1" applyFill="1" applyBorder="1" applyAlignment="1">
      <alignment horizontal="left" vertical="center"/>
    </xf>
    <xf numFmtId="0" fontId="0" fillId="0" borderId="15" xfId="0" applyFont="1" applyFill="1" applyBorder="1" applyAlignment="1">
      <alignment horizontal="left"/>
    </xf>
    <xf numFmtId="0" fontId="0" fillId="0" borderId="16" xfId="0" applyFont="1" applyFill="1" applyBorder="1" applyAlignment="1">
      <alignment horizontal="center" vertical="center"/>
    </xf>
    <xf numFmtId="0" fontId="0" fillId="0" borderId="0" xfId="0" applyFont="1" applyFill="1" applyBorder="1" applyAlignment="1">
      <alignment/>
    </xf>
    <xf numFmtId="0" fontId="0" fillId="0" borderId="13" xfId="0" applyFont="1" applyFill="1" applyBorder="1" applyAlignment="1">
      <alignment horizontal="center"/>
    </xf>
    <xf numFmtId="0" fontId="1" fillId="0" borderId="15" xfId="0" applyFont="1" applyFill="1" applyBorder="1" applyAlignment="1">
      <alignment horizontal="left"/>
    </xf>
    <xf numFmtId="0" fontId="0" fillId="0" borderId="10" xfId="0" applyFont="1" applyFill="1" applyBorder="1" applyAlignment="1">
      <alignment vertical="center"/>
    </xf>
    <xf numFmtId="0" fontId="1"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top"/>
    </xf>
    <xf numFmtId="0"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xf>
    <xf numFmtId="2" fontId="43" fillId="0" borderId="10" xfId="0" applyNumberFormat="1" applyFont="1" applyFill="1" applyBorder="1" applyAlignment="1">
      <alignment horizontal="center" vertical="center"/>
    </xf>
    <xf numFmtId="0" fontId="43" fillId="0" borderId="10" xfId="0" applyFont="1" applyFill="1" applyBorder="1" applyAlignment="1" quotePrefix="1">
      <alignment horizontal="center" vertical="center"/>
    </xf>
    <xf numFmtId="2" fontId="1" fillId="0" borderId="0" xfId="0" applyNumberFormat="1" applyFont="1" applyFill="1" applyAlignment="1">
      <alignment/>
    </xf>
    <xf numFmtId="2" fontId="0" fillId="0" borderId="0" xfId="0" applyNumberFormat="1" applyFont="1" applyFill="1" applyAlignment="1">
      <alignment horizontal="center" vertical="center"/>
    </xf>
    <xf numFmtId="2" fontId="0" fillId="0" borderId="13" xfId="0" applyNumberFormat="1" applyFont="1" applyFill="1" applyBorder="1" applyAlignment="1" quotePrefix="1">
      <alignment horizontal="center" vertical="center"/>
    </xf>
    <xf numFmtId="2" fontId="0" fillId="0" borderId="0" xfId="0" applyNumberFormat="1" applyFont="1" applyFill="1" applyAlignment="1">
      <alignment/>
    </xf>
    <xf numFmtId="0" fontId="39" fillId="0" borderId="10" xfId="0" applyNumberFormat="1" applyFont="1" applyFill="1" applyBorder="1" applyAlignment="1" quotePrefix="1">
      <alignment horizontal="center"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9" fillId="0" borderId="0" xfId="0" applyNumberFormat="1" applyFont="1" applyFill="1" applyBorder="1" applyAlignment="1" quotePrefix="1">
      <alignment horizontal="center" vertical="center"/>
    </xf>
    <xf numFmtId="2" fontId="39" fillId="0" borderId="0" xfId="0" applyNumberFormat="1" applyFont="1" applyFill="1" applyBorder="1" applyAlignment="1">
      <alignment horizontal="center" vertical="center"/>
    </xf>
    <xf numFmtId="0" fontId="0" fillId="0" borderId="0" xfId="0" applyFont="1" applyFill="1" applyBorder="1" applyAlignment="1">
      <alignment vertical="top"/>
    </xf>
    <xf numFmtId="0" fontId="0" fillId="0" borderId="0" xfId="0" applyFont="1" applyFill="1" applyAlignment="1">
      <alignment vertical="top"/>
    </xf>
    <xf numFmtId="2" fontId="0" fillId="0" borderId="0" xfId="0" applyNumberFormat="1" applyFont="1" applyFill="1" applyAlignment="1">
      <alignment vertical="top"/>
    </xf>
    <xf numFmtId="0" fontId="0" fillId="0" borderId="0" xfId="0" applyFont="1" applyFill="1" applyBorder="1" applyAlignment="1">
      <alignment/>
    </xf>
    <xf numFmtId="0" fontId="0" fillId="0" borderId="0" xfId="0" applyNumberFormat="1" applyFont="1" applyFill="1" applyBorder="1" applyAlignment="1">
      <alignment/>
    </xf>
    <xf numFmtId="0" fontId="0" fillId="0" borderId="0" xfId="0" applyNumberFormat="1" applyFont="1" applyFill="1" applyAlignment="1">
      <alignment/>
    </xf>
    <xf numFmtId="0" fontId="1" fillId="0" borderId="0" xfId="0" applyFont="1" applyFill="1" applyAlignment="1">
      <alignment horizontal="center"/>
    </xf>
    <xf numFmtId="0" fontId="1" fillId="0" borderId="0" xfId="0" applyFont="1" applyFill="1" applyAlignment="1" quotePrefix="1">
      <alignment horizontal="center"/>
    </xf>
    <xf numFmtId="0" fontId="1" fillId="0" borderId="0" xfId="0" applyFont="1" applyFill="1" applyAlignment="1" quotePrefix="1">
      <alignment/>
    </xf>
    <xf numFmtId="0" fontId="1"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1" fillId="0" borderId="15"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NumberFormat="1" applyFont="1" applyFill="1" applyBorder="1" applyAlignment="1">
      <alignment vertical="center"/>
    </xf>
    <xf numFmtId="0" fontId="1" fillId="0" borderId="16" xfId="0" applyNumberFormat="1" applyFont="1" applyFill="1" applyBorder="1" applyAlignment="1">
      <alignment vertical="center"/>
    </xf>
    <xf numFmtId="0" fontId="1" fillId="0" borderId="17" xfId="0" applyNumberFormat="1" applyFont="1" applyFill="1" applyBorder="1" applyAlignment="1">
      <alignment vertical="center"/>
    </xf>
    <xf numFmtId="49" fontId="0" fillId="0" borderId="15" xfId="0" applyNumberFormat="1" applyFill="1" applyBorder="1" applyAlignment="1">
      <alignment vertical="center" wrapText="1"/>
    </xf>
    <xf numFmtId="0" fontId="0" fillId="0" borderId="15" xfId="0" applyFont="1" applyFill="1" applyBorder="1" applyAlignment="1">
      <alignment vertical="center" wrapText="1"/>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4" xfId="0" applyFill="1" applyBorder="1" applyAlignment="1">
      <alignment vertical="center" wrapText="1"/>
    </xf>
    <xf numFmtId="0" fontId="0" fillId="0" borderId="10" xfId="0" applyFont="1" applyFill="1" applyBorder="1" applyAlignment="1" quotePrefix="1">
      <alignment horizontal="center"/>
    </xf>
    <xf numFmtId="0" fontId="1" fillId="0" borderId="10" xfId="0" applyFont="1" applyFill="1" applyBorder="1" applyAlignment="1" quotePrefix="1">
      <alignment horizontal="center"/>
    </xf>
    <xf numFmtId="0" fontId="39" fillId="0" borderId="10" xfId="0" applyFont="1" applyFill="1" applyBorder="1" applyAlignment="1" quotePrefix="1">
      <alignment horizontal="center"/>
    </xf>
    <xf numFmtId="0" fontId="39" fillId="0" borderId="10" xfId="0" applyNumberFormat="1" applyFont="1" applyFill="1" applyBorder="1" applyAlignment="1">
      <alignment horizontal="center" vertical="center"/>
    </xf>
    <xf numFmtId="2" fontId="0" fillId="0" borderId="0" xfId="0" applyNumberFormat="1" applyFill="1" applyAlignment="1">
      <alignment vertical="top"/>
    </xf>
    <xf numFmtId="0" fontId="0" fillId="0" borderId="0" xfId="0" applyFill="1" applyAlignment="1">
      <alignment horizontal="center" vertical="top" wrapText="1"/>
    </xf>
    <xf numFmtId="0" fontId="0" fillId="0" borderId="0" xfId="0" applyNumberFormat="1" applyFill="1" applyAlignment="1">
      <alignment horizontal="center" vertical="top" wrapText="1"/>
    </xf>
    <xf numFmtId="0" fontId="0" fillId="0" borderId="0" xfId="0" applyNumberFormat="1" applyFill="1" applyAlignment="1">
      <alignment/>
    </xf>
    <xf numFmtId="0" fontId="6" fillId="0" borderId="0" xfId="0" applyFont="1" applyFill="1" applyAlignment="1">
      <alignment/>
    </xf>
    <xf numFmtId="0" fontId="6" fillId="0" borderId="0" xfId="0" applyNumberFormat="1" applyFont="1" applyFill="1" applyAlignment="1">
      <alignment/>
    </xf>
    <xf numFmtId="0" fontId="0" fillId="0" borderId="10" xfId="0" applyFill="1" applyBorder="1" applyAlignment="1">
      <alignment vertical="top"/>
    </xf>
    <xf numFmtId="0" fontId="17" fillId="0" borderId="0" xfId="0" applyNumberFormat="1" applyFont="1" applyFill="1" applyBorder="1" applyAlignment="1">
      <alignment horizontal="left" vertical="center"/>
    </xf>
    <xf numFmtId="2" fontId="0" fillId="0" borderId="12" xfId="0" applyNumberFormat="1" applyFill="1" applyBorder="1" applyAlignment="1">
      <alignment horizontal="center" vertical="center"/>
    </xf>
    <xf numFmtId="0" fontId="28" fillId="0" borderId="0" xfId="0" applyFont="1" applyFill="1" applyAlignment="1">
      <alignment/>
    </xf>
    <xf numFmtId="49" fontId="17" fillId="32" borderId="0" xfId="0" applyNumberFormat="1" applyFont="1" applyFill="1" applyBorder="1" applyAlignment="1">
      <alignment vertical="center" wrapText="1"/>
    </xf>
    <xf numFmtId="0" fontId="0" fillId="0" borderId="12" xfId="0" applyFont="1" applyFill="1" applyBorder="1" applyAlignment="1">
      <alignment horizontal="center" vertical="center" wrapText="1"/>
    </xf>
    <xf numFmtId="0" fontId="11" fillId="0" borderId="0" xfId="0" applyFont="1" applyFill="1" applyAlignment="1">
      <alignment vertical="top" wrapText="1"/>
    </xf>
    <xf numFmtId="0" fontId="11" fillId="0" borderId="0" xfId="0" applyFont="1" applyFill="1" applyAlignment="1">
      <alignment horizontal="center" vertical="top" wrapText="1"/>
    </xf>
    <xf numFmtId="0" fontId="11" fillId="0" borderId="0" xfId="0" applyFont="1" applyFill="1" applyBorder="1" applyAlignment="1">
      <alignment vertical="top" wrapText="1"/>
    </xf>
    <xf numFmtId="0" fontId="45" fillId="0" borderId="10" xfId="0" applyFont="1" applyFill="1" applyBorder="1" applyAlignment="1">
      <alignment horizontal="center" vertical="top"/>
    </xf>
    <xf numFmtId="0" fontId="45" fillId="0" borderId="10" xfId="0" applyFont="1" applyFill="1" applyBorder="1" applyAlignment="1">
      <alignment vertical="top"/>
    </xf>
    <xf numFmtId="0" fontId="45" fillId="0" borderId="10" xfId="0" applyFont="1" applyFill="1" applyBorder="1" applyAlignment="1">
      <alignment horizontal="center" vertical="center"/>
    </xf>
    <xf numFmtId="0" fontId="45" fillId="0" borderId="10" xfId="0" applyFont="1" applyFill="1" applyBorder="1" applyAlignment="1">
      <alignment vertical="center" wrapText="1"/>
    </xf>
    <xf numFmtId="0" fontId="45" fillId="0" borderId="10" xfId="0" applyFont="1" applyFill="1" applyBorder="1" applyAlignment="1">
      <alignment horizontal="center" vertical="center" wrapText="1"/>
    </xf>
    <xf numFmtId="2" fontId="45" fillId="0" borderId="10" xfId="0" applyNumberFormat="1" applyFont="1" applyFill="1" applyBorder="1" applyAlignment="1">
      <alignment horizontal="center" vertical="center"/>
    </xf>
    <xf numFmtId="2" fontId="45"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xf>
    <xf numFmtId="0" fontId="45" fillId="0" borderId="10" xfId="0" applyFont="1" applyFill="1" applyBorder="1" applyAlignment="1">
      <alignment horizontal="center" vertical="top" wrapText="1"/>
    </xf>
    <xf numFmtId="193" fontId="45" fillId="0" borderId="10" xfId="0" applyNumberFormat="1" applyFont="1" applyFill="1" applyBorder="1" applyAlignment="1">
      <alignment horizontal="center" vertical="center"/>
    </xf>
    <xf numFmtId="0" fontId="45" fillId="0" borderId="10" xfId="0" applyNumberFormat="1" applyFont="1" applyFill="1" applyBorder="1" applyAlignment="1">
      <alignment horizontal="center" vertical="center" wrapText="1"/>
    </xf>
    <xf numFmtId="0" fontId="45" fillId="0" borderId="10" xfId="0" applyFont="1" applyFill="1" applyBorder="1" applyAlignment="1">
      <alignment vertical="top" wrapText="1"/>
    </xf>
    <xf numFmtId="2" fontId="45" fillId="0" borderId="10" xfId="0" applyNumberFormat="1" applyFont="1" applyFill="1" applyBorder="1" applyAlignment="1">
      <alignment horizontal="center" vertical="top" wrapText="1"/>
    </xf>
    <xf numFmtId="0" fontId="45" fillId="0" borderId="10" xfId="0" applyNumberFormat="1" applyFont="1" applyFill="1" applyBorder="1" applyAlignment="1">
      <alignment horizontal="center" vertical="top" wrapText="1"/>
    </xf>
    <xf numFmtId="0" fontId="35" fillId="0" borderId="10" xfId="0" applyFont="1" applyFill="1" applyBorder="1" applyAlignment="1">
      <alignment vertical="center" wrapText="1"/>
    </xf>
    <xf numFmtId="0" fontId="53" fillId="0" borderId="10" xfId="0" applyFont="1" applyFill="1" applyBorder="1" applyAlignment="1">
      <alignment horizontal="center" vertical="top" wrapText="1"/>
    </xf>
    <xf numFmtId="0" fontId="45" fillId="0" borderId="10" xfId="0" applyFont="1" applyFill="1" applyBorder="1" applyAlignment="1">
      <alignment horizontal="left" vertical="top" wrapText="1"/>
    </xf>
    <xf numFmtId="0" fontId="53" fillId="0" borderId="10" xfId="0" applyFont="1" applyFill="1" applyBorder="1" applyAlignment="1">
      <alignment horizontal="center" vertical="top"/>
    </xf>
    <xf numFmtId="1" fontId="45" fillId="0" borderId="10" xfId="0" applyNumberFormat="1" applyFont="1" applyFill="1" applyBorder="1" applyAlignment="1">
      <alignment horizontal="center" vertical="top" wrapText="1"/>
    </xf>
    <xf numFmtId="0" fontId="45" fillId="0" borderId="10" xfId="0" applyFont="1" applyFill="1" applyBorder="1" applyAlignment="1">
      <alignment horizontal="left" vertical="center" wrapText="1"/>
    </xf>
    <xf numFmtId="2" fontId="45" fillId="0" borderId="10" xfId="0" applyNumberFormat="1" applyFont="1" applyFill="1" applyBorder="1" applyAlignment="1">
      <alignment horizontal="center" vertical="top"/>
    </xf>
    <xf numFmtId="0" fontId="53" fillId="0" borderId="10" xfId="0" applyNumberFormat="1" applyFont="1" applyFill="1" applyBorder="1" applyAlignment="1">
      <alignment horizontal="center" vertical="top" wrapText="1"/>
    </xf>
    <xf numFmtId="0" fontId="53" fillId="0" borderId="10" xfId="0" applyFont="1" applyFill="1" applyBorder="1" applyAlignment="1">
      <alignment horizontal="center" vertical="center" wrapText="1"/>
    </xf>
    <xf numFmtId="0" fontId="45" fillId="0" borderId="10" xfId="0" applyFont="1" applyFill="1" applyBorder="1" applyAlignment="1">
      <alignment vertical="center"/>
    </xf>
    <xf numFmtId="0" fontId="53" fillId="0" borderId="10" xfId="0" applyNumberFormat="1" applyFont="1" applyFill="1" applyBorder="1" applyAlignment="1">
      <alignment horizontal="center" vertical="center" wrapText="1"/>
    </xf>
    <xf numFmtId="193" fontId="45" fillId="0" borderId="10" xfId="0" applyNumberFormat="1" applyFont="1" applyFill="1" applyBorder="1" applyAlignment="1">
      <alignment horizontal="center" vertical="top"/>
    </xf>
    <xf numFmtId="1" fontId="53" fillId="0" borderId="10" xfId="0" applyNumberFormat="1" applyFont="1" applyFill="1" applyBorder="1" applyAlignment="1">
      <alignment horizontal="center" vertical="top"/>
    </xf>
    <xf numFmtId="1" fontId="45" fillId="0" borderId="10" xfId="0" applyNumberFormat="1" applyFont="1" applyFill="1" applyBorder="1" applyAlignment="1">
      <alignment horizontal="center" vertical="top"/>
    </xf>
    <xf numFmtId="0" fontId="54" fillId="0" borderId="10" xfId="0" applyFont="1" applyFill="1" applyBorder="1" applyAlignment="1">
      <alignment vertical="top" wrapText="1"/>
    </xf>
    <xf numFmtId="0" fontId="54" fillId="0" borderId="10" xfId="0" applyFont="1" applyFill="1" applyBorder="1" applyAlignment="1">
      <alignment horizontal="center" vertical="top"/>
    </xf>
    <xf numFmtId="0" fontId="54" fillId="0" borderId="10" xfId="0" applyFont="1" applyFill="1" applyBorder="1" applyAlignment="1">
      <alignment vertical="top"/>
    </xf>
    <xf numFmtId="0" fontId="45" fillId="0" borderId="10" xfId="0" applyNumberFormat="1" applyFont="1" applyFill="1" applyBorder="1" applyAlignment="1">
      <alignment horizontal="center" vertical="top"/>
    </xf>
    <xf numFmtId="0" fontId="35" fillId="0" borderId="10" xfId="0" applyFont="1" applyFill="1" applyBorder="1" applyAlignment="1">
      <alignment vertical="top" wrapText="1"/>
    </xf>
    <xf numFmtId="0" fontId="35" fillId="0" borderId="10" xfId="0" applyFont="1" applyFill="1" applyBorder="1" applyAlignment="1">
      <alignment horizontal="left" vertical="top" wrapText="1"/>
    </xf>
    <xf numFmtId="0" fontId="54" fillId="0" borderId="10" xfId="0" applyFont="1" applyFill="1" applyBorder="1" applyAlignment="1">
      <alignment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center" vertical="top" wrapText="1"/>
    </xf>
    <xf numFmtId="2" fontId="11" fillId="0" borderId="10"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0" fillId="0" borderId="0" xfId="0" applyBorder="1" applyAlignment="1">
      <alignment vertical="top" wrapText="1"/>
    </xf>
    <xf numFmtId="0" fontId="11" fillId="0" borderId="22" xfId="0" applyFont="1" applyBorder="1" applyAlignment="1">
      <alignment horizontal="center" vertical="top" wrapText="1"/>
    </xf>
    <xf numFmtId="0" fontId="7" fillId="0" borderId="11" xfId="0" applyFont="1" applyBorder="1" applyAlignment="1">
      <alignment vertical="top" wrapText="1"/>
    </xf>
    <xf numFmtId="0" fontId="0" fillId="0" borderId="0" xfId="0" applyAlignment="1">
      <alignment vertical="top" wrapText="1"/>
    </xf>
    <xf numFmtId="0" fontId="11" fillId="0" borderId="0" xfId="0" applyFont="1" applyAlignment="1">
      <alignment vertical="top" wrapText="1"/>
    </xf>
    <xf numFmtId="0" fontId="7" fillId="0" borderId="12" xfId="0" applyFont="1" applyBorder="1" applyAlignment="1">
      <alignment horizontal="center" vertical="top" wrapText="1"/>
    </xf>
    <xf numFmtId="0" fontId="7" fillId="0" borderId="19" xfId="0" applyFont="1" applyBorder="1" applyAlignment="1">
      <alignment horizontal="center" vertical="top" wrapText="1"/>
    </xf>
    <xf numFmtId="0" fontId="11" fillId="0" borderId="15" xfId="0" applyFont="1" applyFill="1" applyBorder="1" applyAlignment="1">
      <alignment horizontal="center" vertical="center" wrapText="1"/>
    </xf>
    <xf numFmtId="0" fontId="7" fillId="0" borderId="13" xfId="0" applyFont="1" applyBorder="1" applyAlignment="1">
      <alignment horizontal="center" vertical="top" wrapText="1"/>
    </xf>
    <xf numFmtId="0" fontId="48" fillId="0" borderId="10" xfId="0" applyFont="1" applyBorder="1" applyAlignment="1">
      <alignment horizontal="center" vertical="top" wrapText="1"/>
    </xf>
    <xf numFmtId="0" fontId="48" fillId="0" borderId="10" xfId="0" applyFont="1" applyFill="1" applyBorder="1" applyAlignment="1">
      <alignment horizontal="center" vertic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11" fillId="0" borderId="10" xfId="0" applyFont="1" applyBorder="1" applyAlignment="1" quotePrefix="1">
      <alignment horizontal="center" vertical="top" wrapText="1"/>
    </xf>
    <xf numFmtId="0" fontId="7" fillId="0" borderId="14" xfId="0" applyFont="1" applyBorder="1" applyAlignment="1">
      <alignment vertical="top" wrapText="1"/>
    </xf>
    <xf numFmtId="0" fontId="7" fillId="0" borderId="10" xfId="0" applyFont="1" applyBorder="1" applyAlignment="1">
      <alignment vertical="top" wrapText="1"/>
    </xf>
    <xf numFmtId="0" fontId="6" fillId="0" borderId="0" xfId="0" applyFont="1" applyBorder="1" applyAlignment="1">
      <alignment vertical="top" wrapText="1"/>
    </xf>
    <xf numFmtId="0" fontId="7" fillId="0" borderId="0" xfId="0" applyFont="1" applyBorder="1" applyAlignment="1">
      <alignment vertical="top" wrapText="1"/>
    </xf>
    <xf numFmtId="0" fontId="7" fillId="0" borderId="10" xfId="0" applyFont="1" applyBorder="1" applyAlignment="1">
      <alignment horizontal="center" vertical="top" wrapText="1"/>
    </xf>
    <xf numFmtId="1" fontId="11" fillId="0" borderId="10" xfId="0" applyNumberFormat="1" applyFont="1" applyFill="1" applyBorder="1" applyAlignment="1">
      <alignment horizontal="center" vertical="top" wrapText="1"/>
    </xf>
    <xf numFmtId="2" fontId="11" fillId="0" borderId="10" xfId="0" applyNumberFormat="1" applyFont="1" applyFill="1" applyBorder="1" applyAlignment="1">
      <alignment horizontal="center" vertical="top" wrapText="1"/>
    </xf>
    <xf numFmtId="0" fontId="7" fillId="0" borderId="22" xfId="0" applyFont="1" applyBorder="1" applyAlignment="1">
      <alignment vertical="top" wrapText="1"/>
    </xf>
    <xf numFmtId="0" fontId="6" fillId="0" borderId="11" xfId="0" applyFont="1" applyBorder="1" applyAlignment="1">
      <alignment vertical="top" wrapText="1"/>
    </xf>
    <xf numFmtId="1" fontId="7" fillId="0" borderId="11" xfId="0" applyNumberFormat="1" applyFont="1" applyFill="1" applyBorder="1" applyAlignment="1">
      <alignment vertical="top" wrapText="1"/>
    </xf>
    <xf numFmtId="0" fontId="11" fillId="0" borderId="12" xfId="0" applyFont="1" applyBorder="1" applyAlignment="1">
      <alignment horizontal="center" vertical="top" wrapText="1"/>
    </xf>
    <xf numFmtId="0" fontId="7" fillId="0" borderId="10" xfId="0" applyFont="1" applyBorder="1" applyAlignment="1">
      <alignment horizontal="left" vertical="top" wrapText="1"/>
    </xf>
    <xf numFmtId="0" fontId="7" fillId="0" borderId="15" xfId="0" applyFont="1" applyBorder="1" applyAlignment="1">
      <alignment vertical="top" wrapText="1"/>
    </xf>
    <xf numFmtId="1" fontId="7" fillId="0" borderId="16" xfId="0" applyNumberFormat="1" applyFont="1" applyFill="1" applyBorder="1" applyAlignment="1">
      <alignment vertical="top" wrapText="1"/>
    </xf>
    <xf numFmtId="0" fontId="11" fillId="0" borderId="13" xfId="0" applyFont="1" applyBorder="1" applyAlignment="1">
      <alignment horizontal="center" vertical="top" wrapText="1"/>
    </xf>
    <xf numFmtId="0" fontId="7" fillId="0" borderId="20" xfId="0" applyFont="1" applyBorder="1" applyAlignment="1">
      <alignment vertical="top" wrapText="1"/>
    </xf>
    <xf numFmtId="0" fontId="7" fillId="0" borderId="23" xfId="0" applyFont="1" applyBorder="1" applyAlignment="1">
      <alignment vertical="top" wrapText="1"/>
    </xf>
    <xf numFmtId="0" fontId="6" fillId="0" borderId="23" xfId="0" applyFont="1" applyBorder="1" applyAlignment="1">
      <alignment vertical="top" wrapText="1"/>
    </xf>
    <xf numFmtId="1" fontId="7" fillId="0" borderId="23" xfId="0" applyNumberFormat="1" applyFont="1" applyFill="1" applyBorder="1" applyAlignment="1">
      <alignment vertical="top" wrapText="1"/>
    </xf>
    <xf numFmtId="0" fontId="11" fillId="0" borderId="10" xfId="0" applyFont="1" applyBorder="1" applyAlignment="1">
      <alignment horizontal="center" vertical="top" wrapText="1"/>
    </xf>
    <xf numFmtId="1" fontId="7" fillId="0" borderId="0" xfId="0" applyNumberFormat="1" applyFont="1" applyFill="1" applyBorder="1" applyAlignment="1">
      <alignment vertical="top" wrapText="1"/>
    </xf>
    <xf numFmtId="2" fontId="11" fillId="0" borderId="14" xfId="0" applyNumberFormat="1" applyFont="1" applyBorder="1" applyAlignment="1">
      <alignment vertical="top" wrapText="1"/>
    </xf>
    <xf numFmtId="2" fontId="11" fillId="0" borderId="0" xfId="0" applyNumberFormat="1" applyFont="1" applyBorder="1" applyAlignment="1">
      <alignment vertical="top" wrapText="1"/>
    </xf>
    <xf numFmtId="2" fontId="5" fillId="0" borderId="0" xfId="0" applyNumberFormat="1" applyFont="1" applyBorder="1" applyAlignment="1">
      <alignment vertical="top" wrapText="1"/>
    </xf>
    <xf numFmtId="1" fontId="11" fillId="0" borderId="0" xfId="0" applyNumberFormat="1" applyFont="1" applyFill="1" applyBorder="1" applyAlignment="1">
      <alignment vertical="top" wrapText="1"/>
    </xf>
    <xf numFmtId="0" fontId="7" fillId="0" borderId="10" xfId="0" applyFont="1" applyBorder="1" applyAlignment="1" quotePrefix="1">
      <alignment vertical="top" wrapText="1"/>
    </xf>
    <xf numFmtId="0" fontId="7" fillId="0" borderId="12" xfId="0" applyFont="1" applyBorder="1" applyAlignment="1" quotePrefix="1">
      <alignment vertical="top" wrapText="1"/>
    </xf>
    <xf numFmtId="0" fontId="7" fillId="0" borderId="12" xfId="0" applyFont="1" applyBorder="1" applyAlignment="1">
      <alignment vertical="top" wrapText="1"/>
    </xf>
    <xf numFmtId="1" fontId="11" fillId="0" borderId="12" xfId="0" applyNumberFormat="1" applyFont="1" applyFill="1" applyBorder="1" applyAlignment="1">
      <alignment horizontal="center" vertical="top" wrapText="1"/>
    </xf>
    <xf numFmtId="0" fontId="7" fillId="0" borderId="15" xfId="0" applyFont="1" applyBorder="1" applyAlignment="1" quotePrefix="1">
      <alignment vertical="top" wrapText="1"/>
    </xf>
    <xf numFmtId="0" fontId="7" fillId="0" borderId="16" xfId="0" applyFont="1" applyBorder="1" applyAlignment="1" quotePrefix="1">
      <alignment vertical="top" wrapText="1"/>
    </xf>
    <xf numFmtId="0" fontId="6" fillId="0" borderId="16" xfId="0" applyFont="1" applyBorder="1" applyAlignment="1" quotePrefix="1">
      <alignment vertical="top" wrapText="1"/>
    </xf>
    <xf numFmtId="1" fontId="7" fillId="0" borderId="16" xfId="0" applyNumberFormat="1" applyFont="1" applyFill="1" applyBorder="1" applyAlignment="1" quotePrefix="1">
      <alignment vertical="top" wrapText="1"/>
    </xf>
    <xf numFmtId="0" fontId="7" fillId="0" borderId="14" xfId="0" applyFont="1" applyBorder="1" applyAlignment="1" quotePrefix="1">
      <alignment vertical="top" wrapText="1"/>
    </xf>
    <xf numFmtId="0" fontId="7" fillId="0" borderId="0" xfId="0" applyFont="1" applyBorder="1" applyAlignment="1">
      <alignment horizontal="center" vertical="top" wrapText="1"/>
    </xf>
    <xf numFmtId="1" fontId="11" fillId="0" borderId="0" xfId="0" applyNumberFormat="1" applyFont="1" applyFill="1" applyBorder="1" applyAlignment="1">
      <alignment horizontal="center" vertical="top" wrapText="1"/>
    </xf>
    <xf numFmtId="2" fontId="11" fillId="0" borderId="13" xfId="0" applyNumberFormat="1" applyFont="1" applyFill="1" applyBorder="1" applyAlignment="1">
      <alignment horizontal="center" vertical="top" wrapText="1"/>
    </xf>
    <xf numFmtId="1" fontId="7" fillId="0" borderId="10" xfId="0" applyNumberFormat="1" applyFont="1" applyFill="1" applyBorder="1" applyAlignment="1" quotePrefix="1">
      <alignment vertical="top" wrapText="1"/>
    </xf>
    <xf numFmtId="49" fontId="17" fillId="0" borderId="0" xfId="0" applyNumberFormat="1" applyFont="1" applyFill="1" applyBorder="1" applyAlignment="1">
      <alignment vertical="top" wrapText="1"/>
    </xf>
    <xf numFmtId="0" fontId="47" fillId="0" borderId="0" xfId="0" applyFont="1" applyFill="1" applyAlignment="1">
      <alignment vertical="center" wrapText="1"/>
    </xf>
    <xf numFmtId="0" fontId="52" fillId="0" borderId="0" xfId="0" applyFont="1" applyFill="1" applyAlignment="1">
      <alignment vertical="center" wrapText="1"/>
    </xf>
    <xf numFmtId="0" fontId="7" fillId="0" borderId="22" xfId="0" applyFont="1" applyBorder="1" applyAlignment="1">
      <alignment horizontal="center" vertical="top" wrapText="1"/>
    </xf>
    <xf numFmtId="0" fontId="48" fillId="0" borderId="0" xfId="0" applyFont="1" applyFill="1" applyAlignment="1">
      <alignment vertical="center" wrapText="1"/>
    </xf>
    <xf numFmtId="0" fontId="7" fillId="0" borderId="22" xfId="0" applyFont="1" applyBorder="1" applyAlignment="1" quotePrefix="1">
      <alignment vertical="top" wrapText="1"/>
    </xf>
    <xf numFmtId="2" fontId="11" fillId="0" borderId="15" xfId="0" applyNumberFormat="1" applyFont="1" applyBorder="1" applyAlignment="1">
      <alignment vertical="top" wrapText="1"/>
    </xf>
    <xf numFmtId="2" fontId="5" fillId="0" borderId="16" xfId="0" applyNumberFormat="1" applyFont="1" applyBorder="1" applyAlignment="1">
      <alignment vertical="top" wrapText="1"/>
    </xf>
    <xf numFmtId="2" fontId="11" fillId="0" borderId="16" xfId="0" applyNumberFormat="1" applyFont="1" applyBorder="1" applyAlignment="1">
      <alignment vertical="top" wrapText="1"/>
    </xf>
    <xf numFmtId="1" fontId="11" fillId="0" borderId="16" xfId="0" applyNumberFormat="1" applyFont="1" applyFill="1" applyBorder="1" applyAlignment="1">
      <alignment vertical="top" wrapText="1"/>
    </xf>
    <xf numFmtId="0" fontId="7" fillId="0" borderId="16" xfId="0" applyFont="1" applyBorder="1" applyAlignment="1">
      <alignment vertical="top" wrapText="1"/>
    </xf>
    <xf numFmtId="0" fontId="6" fillId="0" borderId="16" xfId="0" applyFont="1" applyBorder="1" applyAlignment="1">
      <alignment vertical="top" wrapText="1"/>
    </xf>
    <xf numFmtId="1" fontId="11" fillId="0" borderId="16" xfId="0" applyNumberFormat="1" applyFont="1" applyFill="1" applyBorder="1" applyAlignment="1">
      <alignment horizontal="center" vertical="top" wrapText="1"/>
    </xf>
    <xf numFmtId="0" fontId="7" fillId="0" borderId="16" xfId="0" applyFont="1" applyBorder="1" applyAlignment="1">
      <alignment horizontal="center" vertical="top" wrapText="1"/>
    </xf>
    <xf numFmtId="0" fontId="11" fillId="0" borderId="16" xfId="0" applyFont="1" applyBorder="1" applyAlignment="1">
      <alignment vertical="top" wrapText="1"/>
    </xf>
    <xf numFmtId="0" fontId="6" fillId="0" borderId="15" xfId="0" applyFont="1" applyBorder="1" applyAlignment="1">
      <alignment vertical="top" wrapText="1"/>
    </xf>
    <xf numFmtId="0" fontId="7" fillId="0" borderId="20" xfId="0" applyFont="1" applyBorder="1" applyAlignment="1" quotePrefix="1">
      <alignment vertical="top" wrapText="1"/>
    </xf>
    <xf numFmtId="0" fontId="7" fillId="0" borderId="23" xfId="0" applyFont="1" applyBorder="1" applyAlignment="1" quotePrefix="1">
      <alignment vertical="top" wrapText="1"/>
    </xf>
    <xf numFmtId="0" fontId="6" fillId="0" borderId="23" xfId="0" applyFont="1" applyBorder="1" applyAlignment="1" quotePrefix="1">
      <alignment vertical="top" wrapText="1"/>
    </xf>
    <xf numFmtId="1" fontId="7" fillId="0" borderId="23" xfId="0" applyNumberFormat="1" applyFont="1" applyFill="1" applyBorder="1" applyAlignment="1" quotePrefix="1">
      <alignment vertical="top" wrapText="1"/>
    </xf>
    <xf numFmtId="0" fontId="56" fillId="0" borderId="10" xfId="0" applyFont="1" applyBorder="1" applyAlignment="1">
      <alignment horizontal="center" vertical="top" wrapText="1"/>
    </xf>
    <xf numFmtId="0" fontId="56" fillId="0" borderId="22" xfId="0" applyFont="1" applyBorder="1" applyAlignment="1">
      <alignment vertical="top" wrapText="1"/>
    </xf>
    <xf numFmtId="0" fontId="56" fillId="0" borderId="11" xfId="0" applyFont="1" applyBorder="1" applyAlignment="1">
      <alignment vertical="top" wrapText="1"/>
    </xf>
    <xf numFmtId="0" fontId="57" fillId="0" borderId="11" xfId="0" applyFont="1" applyBorder="1" applyAlignment="1">
      <alignment vertical="top" wrapText="1"/>
    </xf>
    <xf numFmtId="1" fontId="56" fillId="0" borderId="11" xfId="0" applyNumberFormat="1" applyFont="1" applyFill="1" applyBorder="1" applyAlignment="1">
      <alignment vertical="top" wrapText="1"/>
    </xf>
    <xf numFmtId="0" fontId="43" fillId="0" borderId="0" xfId="0" applyFont="1" applyAlignment="1">
      <alignment vertical="top" wrapText="1"/>
    </xf>
    <xf numFmtId="0" fontId="56" fillId="0" borderId="12" xfId="0" applyFont="1" applyBorder="1" applyAlignment="1">
      <alignment horizontal="center" vertical="top" wrapText="1"/>
    </xf>
    <xf numFmtId="0" fontId="7" fillId="0" borderId="13" xfId="0" applyFont="1" applyBorder="1" applyAlignment="1">
      <alignment vertical="top" wrapText="1"/>
    </xf>
    <xf numFmtId="1" fontId="11" fillId="0" borderId="13" xfId="0" applyNumberFormat="1" applyFont="1" applyFill="1" applyBorder="1" applyAlignment="1">
      <alignment horizontal="center" vertical="top" wrapText="1"/>
    </xf>
    <xf numFmtId="0" fontId="50" fillId="0" borderId="0" xfId="0" applyFont="1" applyFill="1" applyAlignment="1">
      <alignment vertical="center" wrapText="1"/>
    </xf>
    <xf numFmtId="0" fontId="56" fillId="0" borderId="14" xfId="0" applyFont="1" applyBorder="1" applyAlignment="1">
      <alignment vertical="top" wrapText="1"/>
    </xf>
    <xf numFmtId="0" fontId="56" fillId="0" borderId="0" xfId="0" applyFont="1" applyBorder="1" applyAlignment="1">
      <alignment vertical="top" wrapText="1"/>
    </xf>
    <xf numFmtId="0" fontId="57" fillId="0" borderId="0" xfId="0" applyFont="1" applyBorder="1" applyAlignment="1">
      <alignment vertical="top" wrapText="1"/>
    </xf>
    <xf numFmtId="1" fontId="56" fillId="0" borderId="0" xfId="0" applyNumberFormat="1" applyFont="1" applyFill="1" applyBorder="1" applyAlignment="1">
      <alignment vertical="top" wrapText="1"/>
    </xf>
    <xf numFmtId="0" fontId="7" fillId="0" borderId="19" xfId="0" applyFont="1" applyBorder="1" applyAlignment="1">
      <alignment vertical="top" wrapText="1"/>
    </xf>
    <xf numFmtId="1" fontId="11" fillId="0" borderId="19" xfId="0" applyNumberFormat="1" applyFont="1" applyFill="1" applyBorder="1" applyAlignment="1">
      <alignment horizontal="center" vertical="top" wrapText="1"/>
    </xf>
    <xf numFmtId="0" fontId="7" fillId="0" borderId="10" xfId="0" applyFont="1" applyBorder="1" applyAlignment="1" quotePrefix="1">
      <alignment horizontal="center" vertical="top" wrapText="1"/>
    </xf>
    <xf numFmtId="0" fontId="56" fillId="0" borderId="15" xfId="0" applyFont="1" applyBorder="1" applyAlignment="1">
      <alignment vertical="top" wrapText="1"/>
    </xf>
    <xf numFmtId="0" fontId="56" fillId="0" borderId="16" xfId="0" applyFont="1" applyBorder="1" applyAlignment="1">
      <alignment vertical="top" wrapText="1"/>
    </xf>
    <xf numFmtId="0" fontId="57" fillId="0" borderId="16" xfId="0" applyFont="1" applyBorder="1" applyAlignment="1">
      <alignment vertical="top" wrapText="1"/>
    </xf>
    <xf numFmtId="1" fontId="56" fillId="0" borderId="16" xfId="0" applyNumberFormat="1" applyFont="1" applyFill="1" applyBorder="1" applyAlignment="1">
      <alignment vertical="top" wrapText="1"/>
    </xf>
    <xf numFmtId="0" fontId="11" fillId="0" borderId="13" xfId="0" applyFont="1" applyBorder="1" applyAlignment="1">
      <alignment horizontal="left" vertical="top" wrapText="1"/>
    </xf>
    <xf numFmtId="0" fontId="11" fillId="0" borderId="15" xfId="0" applyFont="1" applyBorder="1" applyAlignment="1">
      <alignment vertical="top" wrapText="1"/>
    </xf>
    <xf numFmtId="0" fontId="11" fillId="0" borderId="22" xfId="0" applyFont="1" applyBorder="1" applyAlignment="1">
      <alignment vertical="top" wrapText="1"/>
    </xf>
    <xf numFmtId="0" fontId="5" fillId="0" borderId="11" xfId="0" applyFont="1" applyBorder="1" applyAlignment="1">
      <alignment vertical="top" wrapText="1"/>
    </xf>
    <xf numFmtId="0" fontId="11" fillId="0" borderId="11" xfId="0" applyFont="1" applyBorder="1" applyAlignment="1">
      <alignment vertical="top" wrapText="1"/>
    </xf>
    <xf numFmtId="1" fontId="11" fillId="0" borderId="11" xfId="0" applyNumberFormat="1" applyFont="1" applyFill="1" applyBorder="1" applyAlignment="1">
      <alignment vertical="top" wrapText="1"/>
    </xf>
    <xf numFmtId="0" fontId="7" fillId="0" borderId="20" xfId="0" applyFont="1" applyBorder="1" applyAlignment="1">
      <alignment horizontal="center" vertical="top" wrapText="1"/>
    </xf>
    <xf numFmtId="0" fontId="6" fillId="0" borderId="10" xfId="0" applyFont="1" applyBorder="1" applyAlignment="1">
      <alignment horizontal="center" vertical="top" wrapText="1"/>
    </xf>
    <xf numFmtId="0" fontId="11" fillId="0" borderId="18" xfId="0" applyFont="1" applyBorder="1" applyAlignment="1" quotePrefix="1">
      <alignment horizontal="center" vertical="top" wrapText="1"/>
    </xf>
    <xf numFmtId="0" fontId="7" fillId="0" borderId="14" xfId="0" applyFont="1" applyBorder="1" applyAlignment="1">
      <alignment horizontal="center" vertical="top" wrapText="1"/>
    </xf>
    <xf numFmtId="2" fontId="11" fillId="0" borderId="12" xfId="0" applyNumberFormat="1" applyFont="1" applyFill="1" applyBorder="1" applyAlignment="1">
      <alignment horizontal="center" vertical="top" wrapText="1"/>
    </xf>
    <xf numFmtId="0" fontId="6" fillId="0" borderId="10" xfId="0" applyFont="1" applyBorder="1" applyAlignment="1">
      <alignment vertical="top" wrapText="1"/>
    </xf>
    <xf numFmtId="1" fontId="7" fillId="0" borderId="10" xfId="0" applyNumberFormat="1" applyFont="1" applyFill="1" applyBorder="1" applyAlignment="1">
      <alignment vertical="top" wrapText="1"/>
    </xf>
    <xf numFmtId="0" fontId="43" fillId="0" borderId="0" xfId="0" applyFont="1" applyFill="1" applyAlignment="1">
      <alignment vertical="top" wrapText="1"/>
    </xf>
    <xf numFmtId="0" fontId="7" fillId="0" borderId="21" xfId="0" applyFont="1" applyBorder="1" applyAlignment="1">
      <alignment vertical="top" wrapText="1"/>
    </xf>
    <xf numFmtId="0" fontId="7" fillId="0" borderId="10" xfId="0" applyNumberFormat="1" applyFont="1" applyBorder="1" applyAlignment="1">
      <alignment vertical="top" wrapText="1"/>
    </xf>
    <xf numFmtId="0" fontId="56" fillId="0" borderId="0" xfId="0" applyFont="1" applyBorder="1" applyAlignment="1">
      <alignment horizontal="center" vertical="top" wrapText="1"/>
    </xf>
    <xf numFmtId="0" fontId="5" fillId="0" borderId="0" xfId="0" applyFont="1" applyBorder="1" applyAlignment="1">
      <alignment vertical="top" wrapText="1"/>
    </xf>
    <xf numFmtId="0" fontId="11" fillId="0" borderId="0" xfId="0" applyFont="1" applyBorder="1" applyAlignment="1">
      <alignment vertical="top" wrapText="1"/>
    </xf>
    <xf numFmtId="2" fontId="11" fillId="0" borderId="19" xfId="0" applyNumberFormat="1" applyFont="1" applyFill="1" applyBorder="1" applyAlignment="1">
      <alignment horizontal="center" vertical="top" wrapText="1"/>
    </xf>
    <xf numFmtId="0" fontId="11" fillId="0" borderId="10" xfId="0" applyFont="1" applyBorder="1" applyAlignment="1">
      <alignment horizontal="left" vertical="top" wrapText="1"/>
    </xf>
    <xf numFmtId="0" fontId="11" fillId="0" borderId="10" xfId="0" applyFont="1" applyBorder="1" applyAlignment="1">
      <alignment vertical="top" wrapText="1"/>
    </xf>
    <xf numFmtId="2" fontId="5" fillId="0" borderId="15" xfId="0" applyNumberFormat="1" applyFont="1" applyBorder="1" applyAlignment="1">
      <alignment vertical="top" wrapText="1"/>
    </xf>
    <xf numFmtId="2" fontId="11" fillId="0" borderId="22" xfId="0" applyNumberFormat="1" applyFont="1" applyBorder="1" applyAlignment="1">
      <alignment vertical="top" wrapText="1"/>
    </xf>
    <xf numFmtId="2" fontId="11" fillId="0" borderId="11" xfId="0" applyNumberFormat="1" applyFont="1" applyBorder="1" applyAlignment="1">
      <alignment vertical="top" wrapText="1"/>
    </xf>
    <xf numFmtId="2" fontId="5" fillId="0" borderId="11" xfId="0" applyNumberFormat="1" applyFont="1" applyBorder="1" applyAlignment="1">
      <alignment vertical="top" wrapText="1"/>
    </xf>
    <xf numFmtId="0" fontId="11" fillId="0" borderId="13" xfId="0" applyFont="1" applyBorder="1" applyAlignment="1">
      <alignment vertical="top" wrapText="1"/>
    </xf>
    <xf numFmtId="0" fontId="6" fillId="0" borderId="14" xfId="0" applyFont="1" applyBorder="1" applyAlignment="1">
      <alignment vertical="top" wrapText="1"/>
    </xf>
    <xf numFmtId="0" fontId="16" fillId="0" borderId="0" xfId="0" applyFont="1" applyFill="1" applyBorder="1" applyAlignment="1">
      <alignment vertical="center" wrapText="1"/>
    </xf>
    <xf numFmtId="0" fontId="0" fillId="0" borderId="14" xfId="0" applyBorder="1" applyAlignment="1">
      <alignment vertical="top" wrapText="1"/>
    </xf>
    <xf numFmtId="1" fontId="7" fillId="0" borderId="0" xfId="0" applyNumberFormat="1" applyFont="1" applyFill="1" applyBorder="1" applyAlignment="1">
      <alignment vertical="top" wrapText="1"/>
    </xf>
    <xf numFmtId="0" fontId="56" fillId="0" borderId="12" xfId="0" applyFont="1" applyBorder="1" applyAlignment="1">
      <alignment vertical="top" wrapText="1"/>
    </xf>
    <xf numFmtId="0" fontId="5" fillId="0" borderId="15" xfId="0" applyFont="1" applyBorder="1" applyAlignment="1">
      <alignment vertical="top" wrapText="1"/>
    </xf>
    <xf numFmtId="0" fontId="56" fillId="0" borderId="10" xfId="0" applyFont="1" applyBorder="1" applyAlignment="1">
      <alignment vertical="top" wrapText="1"/>
    </xf>
    <xf numFmtId="0" fontId="43" fillId="0" borderId="16" xfId="0" applyFont="1" applyBorder="1" applyAlignment="1">
      <alignment vertical="top" wrapText="1"/>
    </xf>
    <xf numFmtId="1" fontId="56" fillId="0" borderId="16" xfId="0" applyNumberFormat="1" applyFont="1" applyFill="1" applyBorder="1" applyAlignment="1">
      <alignment vertical="top" wrapText="1"/>
    </xf>
    <xf numFmtId="2" fontId="5" fillId="0" borderId="14" xfId="0" applyNumberFormat="1" applyFont="1" applyBorder="1" applyAlignment="1">
      <alignment vertical="top" wrapText="1"/>
    </xf>
    <xf numFmtId="0" fontId="0" fillId="0" borderId="15" xfId="0" applyBorder="1" applyAlignment="1">
      <alignment vertical="top" wrapText="1"/>
    </xf>
    <xf numFmtId="1" fontId="7" fillId="0" borderId="16" xfId="0" applyNumberFormat="1" applyFont="1" applyFill="1" applyBorder="1" applyAlignment="1">
      <alignment vertical="top"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11" fillId="0" borderId="12" xfId="0" applyFont="1" applyBorder="1" applyAlignment="1">
      <alignment vertical="top" wrapText="1"/>
    </xf>
    <xf numFmtId="0" fontId="7" fillId="0" borderId="23" xfId="0" applyFont="1" applyBorder="1" applyAlignment="1">
      <alignment horizontal="center" vertical="top" wrapText="1"/>
    </xf>
    <xf numFmtId="0" fontId="11" fillId="0" borderId="23" xfId="0" applyFont="1" applyBorder="1" applyAlignment="1">
      <alignment vertical="top" wrapText="1"/>
    </xf>
    <xf numFmtId="1" fontId="11" fillId="0" borderId="23" xfId="0" applyNumberFormat="1" applyFont="1" applyFill="1" applyBorder="1" applyAlignment="1">
      <alignment horizontal="center" vertical="top" wrapText="1"/>
    </xf>
    <xf numFmtId="0" fontId="11" fillId="0" borderId="0" xfId="0" applyFont="1" applyBorder="1" applyAlignment="1">
      <alignment horizontal="center" vertical="top" wrapText="1"/>
    </xf>
    <xf numFmtId="2" fontId="11" fillId="0" borderId="0" xfId="0" applyNumberFormat="1" applyFont="1" applyFill="1" applyBorder="1" applyAlignment="1">
      <alignment horizontal="center" vertical="top" wrapText="1"/>
    </xf>
    <xf numFmtId="0" fontId="7" fillId="0" borderId="0" xfId="0" applyFont="1" applyAlignment="1">
      <alignment vertical="top" wrapText="1"/>
    </xf>
    <xf numFmtId="2" fontId="27" fillId="0" borderId="0" xfId="0" applyNumberFormat="1" applyFont="1" applyFill="1" applyAlignment="1">
      <alignment horizontal="center" vertical="top" wrapText="1"/>
    </xf>
    <xf numFmtId="2" fontId="27" fillId="0" borderId="0" xfId="0" applyNumberFormat="1" applyFont="1" applyAlignment="1">
      <alignment horizontal="center" vertical="top" wrapText="1"/>
    </xf>
    <xf numFmtId="0" fontId="27" fillId="0" borderId="0" xfId="0" applyFont="1" applyFill="1" applyAlignment="1">
      <alignment vertical="top" wrapText="1"/>
    </xf>
    <xf numFmtId="0" fontId="27" fillId="0" borderId="0" xfId="0" applyFont="1" applyAlignment="1">
      <alignment vertical="top" wrapText="1"/>
    </xf>
    <xf numFmtId="187" fontId="27" fillId="0" borderId="0" xfId="0" applyNumberFormat="1" applyFont="1" applyAlignment="1">
      <alignment horizontal="center" vertical="top" wrapText="1"/>
    </xf>
    <xf numFmtId="0" fontId="11" fillId="33" borderId="0" xfId="0" applyFont="1" applyFill="1" applyAlignment="1">
      <alignment horizontal="center" vertical="center"/>
    </xf>
    <xf numFmtId="0" fontId="5" fillId="0" borderId="0" xfId="0" applyFont="1" applyFill="1" applyAlignment="1">
      <alignment vertical="top"/>
    </xf>
    <xf numFmtId="2" fontId="54" fillId="0" borderId="10" xfId="0" applyNumberFormat="1" applyFont="1" applyFill="1" applyBorder="1" applyAlignment="1">
      <alignment horizontal="center" vertical="top"/>
    </xf>
    <xf numFmtId="0" fontId="45" fillId="0" borderId="10" xfId="0" applyNumberFormat="1" applyFont="1" applyFill="1" applyBorder="1" applyAlignment="1">
      <alignment horizontal="left" vertical="top" wrapText="1"/>
    </xf>
    <xf numFmtId="49" fontId="5" fillId="0" borderId="0" xfId="0" applyNumberFormat="1" applyFont="1" applyFill="1" applyAlignment="1">
      <alignment horizontal="center" wrapText="1"/>
    </xf>
    <xf numFmtId="0" fontId="28" fillId="0" borderId="0" xfId="0" applyFont="1" applyFill="1" applyBorder="1" applyAlignment="1">
      <alignment horizontal="left"/>
    </xf>
    <xf numFmtId="49" fontId="6" fillId="0" borderId="0" xfId="0" applyNumberFormat="1" applyFont="1" applyFill="1" applyBorder="1" applyAlignment="1">
      <alignment horizontal="left" vertical="center" wrapText="1"/>
    </xf>
    <xf numFmtId="0" fontId="45" fillId="0" borderId="0" xfId="0" applyFont="1" applyFill="1" applyBorder="1" applyAlignment="1">
      <alignment horizontal="left" vertical="top" wrapText="1"/>
    </xf>
    <xf numFmtId="2" fontId="30" fillId="0" borderId="0" xfId="0" applyNumberFormat="1" applyFont="1" applyFill="1" applyBorder="1" applyAlignment="1">
      <alignment horizontal="center" wrapText="1"/>
    </xf>
    <xf numFmtId="0" fontId="5" fillId="0" borderId="10" xfId="0" applyFont="1" applyFill="1" applyBorder="1" applyAlignment="1" applyProtection="1">
      <alignment horizontal="center" vertical="top" wrapText="1"/>
      <protection/>
    </xf>
    <xf numFmtId="0" fontId="33" fillId="0" borderId="0" xfId="0" applyFont="1" applyFill="1" applyBorder="1" applyAlignment="1">
      <alignment horizontal="center"/>
    </xf>
    <xf numFmtId="0" fontId="5" fillId="0" borderId="10" xfId="0" applyFont="1" applyFill="1" applyBorder="1" applyAlignment="1" applyProtection="1">
      <alignment horizontal="center"/>
      <protection/>
    </xf>
    <xf numFmtId="2" fontId="5" fillId="0" borderId="0" xfId="0" applyNumberFormat="1" applyFont="1" applyFill="1" applyBorder="1" applyAlignment="1">
      <alignment vertical="center" wrapText="1"/>
    </xf>
    <xf numFmtId="49" fontId="1" fillId="0" borderId="0" xfId="61" applyNumberFormat="1" applyFont="1" applyFill="1" applyAlignment="1">
      <alignment vertical="top" wrapText="1"/>
      <protection/>
    </xf>
    <xf numFmtId="2" fontId="2" fillId="0" borderId="0" xfId="61" applyNumberFormat="1" applyFont="1" applyFill="1" applyBorder="1" applyAlignment="1">
      <alignment vertical="center" wrapText="1"/>
      <protection/>
    </xf>
    <xf numFmtId="2" fontId="2" fillId="0" borderId="0" xfId="0" applyNumberFormat="1" applyFont="1" applyFill="1" applyBorder="1" applyAlignment="1">
      <alignment vertical="center" wrapText="1"/>
    </xf>
    <xf numFmtId="2" fontId="35" fillId="0" borderId="0" xfId="0" applyNumberFormat="1" applyFont="1" applyFill="1" applyBorder="1" applyAlignment="1">
      <alignment horizontal="center" vertical="top" wrapText="1"/>
    </xf>
    <xf numFmtId="49" fontId="6" fillId="32" borderId="0" xfId="0" applyNumberFormat="1" applyFont="1" applyFill="1" applyAlignment="1">
      <alignment vertical="center" wrapText="1"/>
    </xf>
    <xf numFmtId="0" fontId="33"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9" fontId="6" fillId="32" borderId="0" xfId="0" applyNumberFormat="1" applyFont="1" applyFill="1" applyBorder="1" applyAlignment="1">
      <alignment vertical="center" wrapText="1"/>
    </xf>
    <xf numFmtId="0" fontId="51" fillId="0" borderId="0" xfId="0" applyFont="1" applyFill="1" applyBorder="1" applyAlignment="1">
      <alignment vertical="center"/>
    </xf>
    <xf numFmtId="0" fontId="35" fillId="0" borderId="0" xfId="0" applyFont="1" applyFill="1" applyAlignment="1">
      <alignment vertical="center"/>
    </xf>
    <xf numFmtId="0" fontId="35" fillId="0" borderId="0" xfId="0" applyFont="1" applyFill="1" applyAlignment="1">
      <alignment/>
    </xf>
    <xf numFmtId="0" fontId="17" fillId="10" borderId="0" xfId="0" applyNumberFormat="1" applyFont="1" applyFill="1" applyBorder="1" applyAlignment="1">
      <alignment horizontal="center" vertical="center"/>
    </xf>
    <xf numFmtId="0" fontId="17" fillId="32" borderId="0" xfId="0" applyFont="1" applyFill="1" applyBorder="1" applyAlignment="1">
      <alignment vertical="center" wrapText="1"/>
    </xf>
    <xf numFmtId="0" fontId="17" fillId="32" borderId="0" xfId="0" applyFont="1" applyFill="1" applyAlignment="1">
      <alignment/>
    </xf>
    <xf numFmtId="0" fontId="17" fillId="32" borderId="0" xfId="0" applyFont="1" applyFill="1" applyAlignment="1">
      <alignment vertical="center"/>
    </xf>
    <xf numFmtId="2" fontId="0" fillId="0" borderId="17" xfId="0" applyNumberFormat="1" applyFill="1" applyBorder="1" applyAlignment="1">
      <alignment horizontal="center" vertical="center"/>
    </xf>
    <xf numFmtId="0" fontId="30" fillId="0" borderId="0" xfId="0" applyFont="1" applyFill="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2" fontId="5" fillId="0" borderId="15"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1" fillId="0" borderId="19" xfId="0" applyFont="1" applyBorder="1" applyAlignment="1">
      <alignment horizontal="center" vertical="top" wrapText="1"/>
    </xf>
    <xf numFmtId="0" fontId="17" fillId="0" borderId="13" xfId="0" applyFont="1" applyFill="1" applyBorder="1" applyAlignment="1">
      <alignment horizontal="center" vertical="center"/>
    </xf>
    <xf numFmtId="0" fontId="0" fillId="0" borderId="12" xfId="0" applyFill="1" applyBorder="1" applyAlignment="1">
      <alignment horizontal="center" vertical="center" wrapText="1"/>
    </xf>
    <xf numFmtId="0" fontId="17" fillId="0" borderId="12" xfId="0" applyFont="1" applyFill="1" applyBorder="1" applyAlignment="1">
      <alignment horizontal="center" vertical="top"/>
    </xf>
    <xf numFmtId="0" fontId="17" fillId="0" borderId="10" xfId="0" applyFont="1" applyFill="1" applyBorder="1" applyAlignment="1">
      <alignment horizontal="center" vertical="top"/>
    </xf>
    <xf numFmtId="0" fontId="5" fillId="0" borderId="10" xfId="66" applyFont="1" applyFill="1" applyBorder="1" applyAlignment="1">
      <alignment horizontal="left" vertical="top" wrapText="1"/>
      <protection/>
    </xf>
    <xf numFmtId="49" fontId="6" fillId="0" borderId="13" xfId="0" applyNumberFormat="1"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0" xfId="0" applyFont="1" applyFill="1" applyBorder="1" applyAlignment="1" applyProtection="1">
      <alignment horizontal="center" vertical="center"/>
      <protection/>
    </xf>
    <xf numFmtId="0" fontId="6" fillId="0" borderId="12"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6" fillId="0" borderId="15" xfId="0" applyNumberFormat="1" applyFont="1" applyFill="1" applyBorder="1" applyAlignment="1">
      <alignment vertical="center" wrapText="1"/>
    </xf>
    <xf numFmtId="0" fontId="6" fillId="0" borderId="16" xfId="0" applyNumberFormat="1" applyFont="1" applyFill="1" applyBorder="1" applyAlignment="1">
      <alignment vertical="center" wrapText="1"/>
    </xf>
    <xf numFmtId="0" fontId="6" fillId="0" borderId="17" xfId="0" applyNumberFormat="1" applyFont="1" applyFill="1" applyBorder="1" applyAlignment="1">
      <alignment vertical="center" wrapText="1"/>
    </xf>
    <xf numFmtId="0" fontId="6" fillId="0" borderId="10" xfId="0" applyNumberFormat="1" applyFont="1" applyFill="1" applyBorder="1" applyAlignment="1">
      <alignment vertical="center" wrapText="1"/>
    </xf>
    <xf numFmtId="190"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vertical="center" wrapText="1"/>
    </xf>
    <xf numFmtId="2" fontId="6" fillId="0" borderId="13" xfId="0" applyNumberFormat="1" applyFont="1" applyFill="1" applyBorder="1" applyAlignment="1">
      <alignment horizontal="center" vertical="center" wrapText="1"/>
    </xf>
    <xf numFmtId="190" fontId="6" fillId="0" borderId="13" xfId="0" applyNumberFormat="1" applyFont="1" applyFill="1" applyBorder="1" applyAlignment="1">
      <alignment horizontal="center" vertical="center" wrapText="1"/>
    </xf>
    <xf numFmtId="2" fontId="6" fillId="0" borderId="12"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2" fontId="6" fillId="0" borderId="17" xfId="0" applyNumberFormat="1" applyFont="1" applyFill="1" applyBorder="1" applyAlignment="1">
      <alignment horizontal="center" vertical="center" wrapText="1"/>
    </xf>
    <xf numFmtId="49" fontId="5" fillId="0" borderId="10" xfId="0" applyNumberFormat="1" applyFont="1" applyFill="1" applyBorder="1" applyAlignment="1" quotePrefix="1">
      <alignment horizontal="center" vertical="center" wrapText="1"/>
    </xf>
    <xf numFmtId="49" fontId="5" fillId="0" borderId="10" xfId="0" applyNumberFormat="1" applyFont="1" applyFill="1" applyBorder="1" applyAlignment="1">
      <alignment vertical="center" wrapText="1"/>
    </xf>
    <xf numFmtId="0" fontId="6" fillId="0" borderId="10" xfId="0"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4" fontId="6" fillId="0" borderId="15" xfId="0" applyNumberFormat="1" applyFont="1" applyFill="1" applyBorder="1" applyAlignment="1" applyProtection="1">
      <alignment horizontal="center" vertical="center"/>
      <protection/>
    </xf>
    <xf numFmtId="4" fontId="6" fillId="0" borderId="10" xfId="0" applyNumberFormat="1" applyFont="1" applyFill="1" applyBorder="1" applyAlignment="1" applyProtection="1">
      <alignment horizontal="center" vertical="center"/>
      <protection/>
    </xf>
    <xf numFmtId="2" fontId="6" fillId="0" borderId="15" xfId="0" applyNumberFormat="1"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49" fontId="6" fillId="0" borderId="10" xfId="0" applyNumberFormat="1" applyFont="1" applyFill="1" applyBorder="1" applyAlignment="1">
      <alignment vertical="top" wrapText="1"/>
    </xf>
    <xf numFmtId="0" fontId="6" fillId="0" borderId="15" xfId="0" applyFont="1" applyFill="1" applyBorder="1" applyAlignment="1" applyProtection="1">
      <alignment horizontal="center" vertical="center" wrapText="1"/>
      <protection/>
    </xf>
    <xf numFmtId="1" fontId="6" fillId="0" borderId="10" xfId="0" applyNumberFormat="1" applyFont="1" applyFill="1" applyBorder="1" applyAlignment="1" applyProtection="1">
      <alignment vertical="center" wrapText="1"/>
      <protection/>
    </xf>
    <xf numFmtId="0" fontId="6" fillId="0" borderId="10" xfId="0" applyFont="1" applyFill="1" applyBorder="1" applyAlignment="1" applyProtection="1">
      <alignment horizontal="left" vertical="center"/>
      <protection/>
    </xf>
    <xf numFmtId="1" fontId="6" fillId="0" borderId="16" xfId="0" applyNumberFormat="1" applyFont="1" applyFill="1" applyBorder="1" applyAlignment="1" applyProtection="1">
      <alignment vertical="center"/>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6" fillId="0" borderId="15" xfId="0" applyFont="1" applyFill="1" applyBorder="1" applyAlignment="1" applyProtection="1">
      <alignment vertical="center"/>
      <protection/>
    </xf>
    <xf numFmtId="0" fontId="6" fillId="0" borderId="16" xfId="0" applyFont="1" applyFill="1" applyBorder="1" applyAlignment="1" applyProtection="1">
      <alignment horizontal="center" vertical="center"/>
      <protection/>
    </xf>
    <xf numFmtId="2" fontId="6" fillId="0" borderId="10" xfId="0" applyNumberFormat="1" applyFont="1" applyFill="1" applyBorder="1" applyAlignment="1" applyProtection="1">
      <alignment horizontal="center" vertical="center"/>
      <protection/>
    </xf>
    <xf numFmtId="2" fontId="6" fillId="0" borderId="15"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left"/>
      <protection/>
    </xf>
    <xf numFmtId="2" fontId="5" fillId="0" borderId="10" xfId="0" applyNumberFormat="1" applyFont="1" applyFill="1" applyBorder="1" applyAlignment="1">
      <alignment horizontal="center" vertical="center"/>
    </xf>
    <xf numFmtId="2" fontId="5" fillId="0" borderId="15" xfId="0" applyNumberFormat="1" applyFont="1" applyFill="1" applyBorder="1" applyAlignment="1">
      <alignment horizontal="center" vertical="center"/>
    </xf>
    <xf numFmtId="0" fontId="6" fillId="0" borderId="13"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0" xfId="0" applyFont="1" applyFill="1" applyAlignment="1">
      <alignment horizontal="left" vertical="center" wrapText="1"/>
    </xf>
    <xf numFmtId="0" fontId="5" fillId="0" borderId="12" xfId="0" applyFont="1" applyFill="1" applyBorder="1" applyAlignment="1">
      <alignment horizontal="left" vertical="center" wrapText="1"/>
    </xf>
    <xf numFmtId="0" fontId="5" fillId="0" borderId="12" xfId="0" applyNumberFormat="1" applyFont="1" applyFill="1" applyBorder="1" applyAlignment="1">
      <alignment vertical="center" wrapText="1"/>
    </xf>
    <xf numFmtId="0" fontId="5" fillId="0" borderId="12" xfId="0" applyFont="1" applyFill="1" applyBorder="1" applyAlignment="1">
      <alignment vertical="center" wrapText="1"/>
    </xf>
    <xf numFmtId="2" fontId="5" fillId="0" borderId="12" xfId="0" applyNumberFormat="1" applyFont="1" applyFill="1" applyBorder="1" applyAlignment="1">
      <alignment horizontal="center" vertical="center" wrapText="1"/>
    </xf>
    <xf numFmtId="2" fontId="5" fillId="0" borderId="20" xfId="0" applyNumberFormat="1" applyFont="1" applyFill="1" applyBorder="1" applyAlignment="1">
      <alignment horizontal="center" vertical="center" wrapText="1"/>
    </xf>
    <xf numFmtId="0" fontId="5" fillId="0" borderId="16" xfId="0" applyNumberFormat="1" applyFont="1" applyFill="1" applyBorder="1" applyAlignment="1">
      <alignment vertical="center" wrapText="1"/>
    </xf>
    <xf numFmtId="2" fontId="6" fillId="0" borderId="16" xfId="0" applyNumberFormat="1"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2" xfId="0" applyNumberFormat="1" applyFont="1" applyFill="1" applyBorder="1" applyAlignment="1">
      <alignment vertical="center" wrapText="1"/>
    </xf>
    <xf numFmtId="0" fontId="5" fillId="0" borderId="10" xfId="0" applyFont="1" applyFill="1" applyBorder="1" applyAlignment="1">
      <alignment vertical="center" wrapText="1"/>
    </xf>
    <xf numFmtId="49" fontId="0" fillId="0" borderId="10" xfId="0" applyNumberFormat="1" applyFill="1" applyBorder="1" applyAlignment="1">
      <alignment wrapText="1"/>
    </xf>
    <xf numFmtId="1" fontId="10" fillId="0" borderId="10" xfId="0" applyNumberFormat="1" applyFont="1" applyFill="1" applyBorder="1" applyAlignment="1">
      <alignment horizontal="center" vertical="center" wrapText="1"/>
    </xf>
    <xf numFmtId="190" fontId="10" fillId="0" borderId="10" xfId="0" applyNumberFormat="1" applyFont="1" applyFill="1" applyBorder="1" applyAlignment="1">
      <alignment horizontal="center" vertical="center" wrapText="1"/>
    </xf>
    <xf numFmtId="49" fontId="0" fillId="0" borderId="10" xfId="0" applyNumberFormat="1" applyFont="1" applyFill="1" applyBorder="1" applyAlignment="1">
      <alignment wrapText="1"/>
    </xf>
    <xf numFmtId="2" fontId="44" fillId="0" borderId="10" xfId="0" applyNumberFormat="1" applyFont="1" applyFill="1" applyBorder="1" applyAlignment="1">
      <alignment horizontal="center" vertical="center" wrapText="1"/>
    </xf>
    <xf numFmtId="2" fontId="31" fillId="0" borderId="10" xfId="0" applyNumberFormat="1" applyFont="1" applyFill="1" applyBorder="1" applyAlignment="1">
      <alignment horizontal="center" vertical="center" wrapText="1"/>
    </xf>
    <xf numFmtId="2" fontId="63"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0" fontId="6" fillId="0" borderId="15" xfId="0" applyNumberFormat="1" applyFont="1" applyFill="1" applyBorder="1" applyAlignment="1">
      <alignment vertical="top" wrapText="1"/>
    </xf>
    <xf numFmtId="0" fontId="6" fillId="0" borderId="16" xfId="0" applyNumberFormat="1" applyFont="1" applyFill="1" applyBorder="1" applyAlignment="1">
      <alignment vertical="top" wrapText="1"/>
    </xf>
    <xf numFmtId="0" fontId="6" fillId="0" borderId="10" xfId="0" applyNumberFormat="1" applyFont="1" applyFill="1" applyBorder="1" applyAlignment="1">
      <alignment horizontal="center" vertical="top" wrapText="1"/>
    </xf>
    <xf numFmtId="2" fontId="6" fillId="0" borderId="10" xfId="0" applyNumberFormat="1" applyFont="1" applyFill="1" applyBorder="1" applyAlignment="1">
      <alignment horizontal="center" vertical="top" wrapText="1"/>
    </xf>
    <xf numFmtId="2" fontId="6" fillId="0" borderId="16" xfId="0" applyNumberFormat="1" applyFont="1" applyFill="1" applyBorder="1" applyAlignment="1">
      <alignment horizontal="center" vertical="top" wrapText="1"/>
    </xf>
    <xf numFmtId="1" fontId="6" fillId="0" borderId="13" xfId="0" applyNumberFormat="1" applyFont="1" applyFill="1" applyBorder="1" applyAlignment="1">
      <alignment horizontal="center" vertical="center" wrapText="1"/>
    </xf>
    <xf numFmtId="49" fontId="6" fillId="0" borderId="10" xfId="0" applyNumberFormat="1" applyFont="1" applyFill="1" applyBorder="1" applyAlignment="1" quotePrefix="1">
      <alignment horizontal="center" vertical="top" wrapText="1"/>
    </xf>
    <xf numFmtId="49" fontId="5" fillId="0" borderId="10" xfId="0" applyNumberFormat="1" applyFont="1" applyFill="1" applyBorder="1" applyAlignment="1">
      <alignment horizontal="center" vertical="top" wrapText="1"/>
    </xf>
    <xf numFmtId="49" fontId="17" fillId="0" borderId="10" xfId="0" applyNumberFormat="1" applyFont="1" applyFill="1" applyBorder="1" applyAlignment="1">
      <alignment vertical="top" wrapText="1"/>
    </xf>
    <xf numFmtId="49" fontId="17" fillId="0" borderId="10" xfId="0" applyNumberFormat="1" applyFont="1" applyFill="1" applyBorder="1" applyAlignment="1">
      <alignment horizontal="center" vertical="top" wrapText="1"/>
    </xf>
    <xf numFmtId="2" fontId="17" fillId="0" borderId="10" xfId="0" applyNumberFormat="1" applyFont="1" applyFill="1" applyBorder="1" applyAlignment="1">
      <alignment horizontal="center" vertical="top" wrapText="1"/>
    </xf>
    <xf numFmtId="2" fontId="17" fillId="0" borderId="10" xfId="0" applyNumberFormat="1" applyFont="1" applyFill="1" applyBorder="1" applyAlignment="1">
      <alignment horizontal="center" vertical="top"/>
    </xf>
    <xf numFmtId="0" fontId="17" fillId="0" borderId="15" xfId="0" applyFont="1" applyFill="1" applyBorder="1" applyAlignment="1">
      <alignment vertical="center" wrapText="1"/>
    </xf>
    <xf numFmtId="0" fontId="17" fillId="0" borderId="16" xfId="0" applyFont="1" applyFill="1" applyBorder="1" applyAlignment="1">
      <alignment vertical="center" wrapText="1"/>
    </xf>
    <xf numFmtId="0" fontId="17" fillId="0" borderId="17" xfId="0" applyFont="1" applyFill="1" applyBorder="1" applyAlignment="1">
      <alignment vertical="center" wrapText="1"/>
    </xf>
    <xf numFmtId="0" fontId="2" fillId="0" borderId="10" xfId="0" applyFont="1" applyFill="1" applyBorder="1" applyAlignment="1">
      <alignment horizontal="center" vertical="top"/>
    </xf>
    <xf numFmtId="0" fontId="15" fillId="0" borderId="10" xfId="0" applyFont="1" applyFill="1" applyBorder="1" applyAlignment="1">
      <alignment horizontal="center" vertical="center"/>
    </xf>
    <xf numFmtId="0" fontId="5" fillId="0" borderId="15" xfId="66" applyFont="1" applyFill="1" applyBorder="1" applyAlignment="1">
      <alignment vertical="top" wrapText="1"/>
      <protection/>
    </xf>
    <xf numFmtId="0" fontId="5" fillId="0" borderId="16" xfId="66" applyFont="1" applyFill="1" applyBorder="1" applyAlignment="1">
      <alignment vertical="top" wrapText="1"/>
      <protection/>
    </xf>
    <xf numFmtId="0" fontId="17" fillId="0" borderId="10" xfId="66" applyFont="1" applyFill="1" applyBorder="1" applyAlignment="1">
      <alignment horizontal="center" vertical="top" wrapText="1"/>
      <protection/>
    </xf>
    <xf numFmtId="2" fontId="17" fillId="0" borderId="17" xfId="66" applyNumberFormat="1" applyFont="1" applyFill="1" applyBorder="1" applyAlignment="1">
      <alignment horizontal="center" vertical="top" wrapText="1"/>
      <protection/>
    </xf>
    <xf numFmtId="0" fontId="17" fillId="0" borderId="10" xfId="66" applyFont="1" applyFill="1" applyBorder="1" applyAlignment="1">
      <alignment horizontal="left" vertical="center" wrapText="1"/>
      <protection/>
    </xf>
    <xf numFmtId="0" fontId="6" fillId="0" borderId="10" xfId="66" applyFont="1" applyFill="1" applyBorder="1" applyAlignment="1">
      <alignment horizontal="left" vertical="center" wrapText="1"/>
      <protection/>
    </xf>
    <xf numFmtId="0" fontId="6" fillId="0" borderId="10" xfId="66" applyFont="1" applyFill="1" applyBorder="1" applyAlignment="1">
      <alignment horizontal="center" vertical="center" wrapText="1"/>
      <protection/>
    </xf>
    <xf numFmtId="0" fontId="5" fillId="0" borderId="10" xfId="66" applyFont="1" applyFill="1" applyBorder="1" applyAlignment="1">
      <alignment vertical="center" wrapText="1"/>
      <protection/>
    </xf>
    <xf numFmtId="2" fontId="17" fillId="0" borderId="10" xfId="66" applyNumberFormat="1" applyFont="1" applyFill="1" applyBorder="1" applyAlignment="1">
      <alignment horizontal="center" vertical="center" wrapText="1"/>
      <protection/>
    </xf>
    <xf numFmtId="0" fontId="17" fillId="0" borderId="10" xfId="66" applyFont="1" applyFill="1" applyBorder="1" applyAlignment="1">
      <alignment horizontal="left" vertical="top" wrapText="1"/>
      <protection/>
    </xf>
    <xf numFmtId="0" fontId="6" fillId="0" borderId="10" xfId="66" applyFont="1" applyFill="1" applyBorder="1" applyAlignment="1">
      <alignment horizontal="left" vertical="top" wrapText="1"/>
      <protection/>
    </xf>
    <xf numFmtId="0" fontId="6" fillId="0" borderId="10" xfId="66" applyFont="1" applyFill="1" applyBorder="1" applyAlignment="1">
      <alignment horizontal="center" vertical="top" wrapText="1"/>
      <protection/>
    </xf>
    <xf numFmtId="0" fontId="17" fillId="0" borderId="10" xfId="0" applyFont="1" applyFill="1" applyBorder="1" applyAlignment="1">
      <alignment wrapText="1"/>
    </xf>
    <xf numFmtId="2" fontId="17" fillId="0" borderId="10" xfId="0" applyNumberFormat="1" applyFont="1" applyFill="1" applyBorder="1" applyAlignment="1">
      <alignment horizontal="center"/>
    </xf>
    <xf numFmtId="0" fontId="2" fillId="0" borderId="10" xfId="0" applyFont="1" applyFill="1" applyBorder="1" applyAlignment="1">
      <alignment wrapText="1"/>
    </xf>
    <xf numFmtId="1" fontId="17" fillId="0" borderId="10" xfId="0" applyNumberFormat="1" applyFont="1" applyFill="1" applyBorder="1" applyAlignment="1">
      <alignment horizontal="center"/>
    </xf>
    <xf numFmtId="49" fontId="17" fillId="0" borderId="10" xfId="0" applyNumberFormat="1" applyFont="1" applyFill="1" applyBorder="1" applyAlignment="1">
      <alignment horizontal="center" vertical="center" wrapText="1"/>
    </xf>
    <xf numFmtId="0" fontId="18" fillId="0" borderId="10" xfId="66" applyFont="1" applyFill="1" applyBorder="1" applyAlignment="1">
      <alignment horizontal="left" vertical="top" wrapText="1"/>
      <protection/>
    </xf>
    <xf numFmtId="2" fontId="5" fillId="0" borderId="10" xfId="0" applyNumberFormat="1" applyFont="1" applyFill="1" applyBorder="1" applyAlignment="1">
      <alignment horizontal="center"/>
    </xf>
    <xf numFmtId="190" fontId="17" fillId="0" borderId="10" xfId="61" applyNumberFormat="1" applyFont="1" applyFill="1" applyBorder="1" applyAlignment="1">
      <alignment horizontal="center" vertical="center" wrapText="1"/>
      <protection/>
    </xf>
    <xf numFmtId="0" fontId="17" fillId="0" borderId="10" xfId="61" applyNumberFormat="1" applyFont="1" applyFill="1" applyBorder="1" applyAlignment="1">
      <alignment horizontal="center" vertical="top" wrapText="1"/>
      <protection/>
    </xf>
    <xf numFmtId="49" fontId="17" fillId="0" borderId="10" xfId="61" applyNumberFormat="1" applyFont="1" applyFill="1" applyBorder="1" applyAlignment="1">
      <alignment horizontal="center" vertical="center" wrapText="1"/>
      <protection/>
    </xf>
    <xf numFmtId="0" fontId="17" fillId="0" borderId="15" xfId="61" applyNumberFormat="1" applyFont="1" applyFill="1" applyBorder="1" applyAlignment="1">
      <alignment vertical="center" wrapText="1"/>
      <protection/>
    </xf>
    <xf numFmtId="0" fontId="17" fillId="0" borderId="16" xfId="61" applyNumberFormat="1" applyFont="1" applyFill="1" applyBorder="1" applyAlignment="1">
      <alignment vertical="center" wrapText="1"/>
      <protection/>
    </xf>
    <xf numFmtId="0" fontId="17" fillId="0" borderId="17" xfId="61" applyNumberFormat="1" applyFont="1" applyFill="1" applyBorder="1" applyAlignment="1">
      <alignment vertical="center" wrapText="1"/>
      <protection/>
    </xf>
    <xf numFmtId="49" fontId="2" fillId="0" borderId="10" xfId="61" applyNumberFormat="1" applyFont="1" applyFill="1" applyBorder="1" applyAlignment="1">
      <alignment vertical="top" wrapText="1"/>
      <protection/>
    </xf>
    <xf numFmtId="0" fontId="17" fillId="0" borderId="10" xfId="61" applyNumberFormat="1" applyFont="1" applyFill="1" applyBorder="1" applyAlignment="1">
      <alignment vertical="center" wrapText="1"/>
      <protection/>
    </xf>
    <xf numFmtId="0" fontId="2" fillId="0" borderId="10" xfId="61" applyNumberFormat="1" applyFont="1" applyFill="1" applyBorder="1" applyAlignment="1">
      <alignment horizontal="center" vertical="top" wrapText="1"/>
      <protection/>
    </xf>
    <xf numFmtId="0" fontId="2" fillId="0" borderId="10" xfId="61" applyNumberFormat="1" applyFont="1" applyFill="1" applyBorder="1" applyAlignment="1">
      <alignment vertical="top" wrapText="1"/>
      <protection/>
    </xf>
    <xf numFmtId="0" fontId="17" fillId="0" borderId="15" xfId="61" applyNumberFormat="1" applyFont="1" applyFill="1" applyBorder="1" applyAlignment="1">
      <alignment vertical="top" wrapText="1"/>
      <protection/>
    </xf>
    <xf numFmtId="0" fontId="17" fillId="0" borderId="16" xfId="61" applyNumberFormat="1" applyFont="1" applyFill="1" applyBorder="1" applyAlignment="1">
      <alignment vertical="top" wrapText="1"/>
      <protection/>
    </xf>
    <xf numFmtId="2" fontId="17" fillId="0" borderId="10" xfId="61" applyNumberFormat="1" applyFont="1" applyFill="1" applyBorder="1" applyAlignment="1">
      <alignment horizontal="center" vertical="top" wrapText="1"/>
      <protection/>
    </xf>
    <xf numFmtId="49" fontId="17" fillId="0" borderId="10" xfId="61" applyNumberFormat="1" applyFont="1" applyFill="1" applyBorder="1" applyAlignment="1">
      <alignment vertical="top" wrapText="1"/>
      <protection/>
    </xf>
    <xf numFmtId="0" fontId="17" fillId="0" borderId="10" xfId="61" applyNumberFormat="1" applyFont="1" applyFill="1" applyBorder="1" applyAlignment="1">
      <alignment vertical="top" wrapText="1"/>
      <protection/>
    </xf>
    <xf numFmtId="49" fontId="17" fillId="0" borderId="10" xfId="61" applyNumberFormat="1" applyFont="1" applyFill="1" applyBorder="1" applyAlignment="1" quotePrefix="1">
      <alignment horizontal="center" vertical="top" wrapText="1"/>
      <protection/>
    </xf>
    <xf numFmtId="0" fontId="2" fillId="0" borderId="10" xfId="61" applyNumberFormat="1" applyFont="1" applyFill="1" applyBorder="1" applyAlignment="1">
      <alignment horizontal="center" vertical="center" wrapText="1"/>
      <protection/>
    </xf>
    <xf numFmtId="0" fontId="2" fillId="0" borderId="10" xfId="66" applyFont="1" applyFill="1" applyBorder="1" applyAlignment="1">
      <alignment horizontal="left" vertical="center" wrapText="1"/>
      <protection/>
    </xf>
    <xf numFmtId="0" fontId="6" fillId="0" borderId="10" xfId="61" applyNumberFormat="1" applyFont="1" applyFill="1" applyBorder="1" applyAlignment="1">
      <alignment wrapText="1"/>
      <protection/>
    </xf>
    <xf numFmtId="49" fontId="6" fillId="0" borderId="10" xfId="61" applyNumberFormat="1" applyFont="1" applyFill="1" applyBorder="1" applyAlignment="1">
      <alignment horizontal="center" wrapText="1"/>
      <protection/>
    </xf>
    <xf numFmtId="2" fontId="6" fillId="0" borderId="10" xfId="61" applyNumberFormat="1" applyFont="1" applyFill="1" applyBorder="1" applyAlignment="1">
      <alignment horizontal="right" wrapText="1"/>
      <protection/>
    </xf>
    <xf numFmtId="1" fontId="0" fillId="0" borderId="10" xfId="0" applyNumberFormat="1" applyFill="1" applyBorder="1" applyAlignment="1">
      <alignment horizontal="center" vertical="center" wrapText="1"/>
    </xf>
    <xf numFmtId="2" fontId="12" fillId="0" borderId="10" xfId="0" applyNumberFormat="1" applyFont="1" applyFill="1" applyBorder="1" applyAlignment="1">
      <alignment horizontal="center" vertical="center" wrapText="1"/>
    </xf>
    <xf numFmtId="2" fontId="0" fillId="0" borderId="10" xfId="0" applyNumberFormat="1" applyFill="1" applyBorder="1" applyAlignment="1">
      <alignment horizontal="center" vertical="center" wrapText="1"/>
    </xf>
    <xf numFmtId="49" fontId="0" fillId="0" borderId="10" xfId="61" applyNumberFormat="1" applyFont="1" applyFill="1" applyBorder="1" applyAlignment="1">
      <alignment vertical="center" wrapText="1"/>
      <protection/>
    </xf>
    <xf numFmtId="1" fontId="0" fillId="0" borderId="15" xfId="0" applyNumberFormat="1" applyFill="1" applyBorder="1" applyAlignment="1">
      <alignment vertical="center" wrapText="1"/>
    </xf>
    <xf numFmtId="1" fontId="0" fillId="0" borderId="16" xfId="0" applyNumberFormat="1" applyFill="1" applyBorder="1" applyAlignment="1">
      <alignment vertical="center" wrapText="1"/>
    </xf>
    <xf numFmtId="1" fontId="0" fillId="0" borderId="17" xfId="0" applyNumberFormat="1" applyFill="1" applyBorder="1" applyAlignment="1">
      <alignment vertical="center" wrapText="1"/>
    </xf>
    <xf numFmtId="0" fontId="1" fillId="0" borderId="10" xfId="0" applyNumberFormat="1" applyFont="1" applyFill="1" applyBorder="1" applyAlignment="1">
      <alignment vertical="center" wrapText="1"/>
    </xf>
    <xf numFmtId="1" fontId="1"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 fontId="6"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2" xfId="0" applyFont="1" applyFill="1" applyBorder="1" applyAlignment="1">
      <alignment horizontal="center" vertical="center" wrapText="1"/>
    </xf>
    <xf numFmtId="1" fontId="6" fillId="0" borderId="10" xfId="0" applyNumberFormat="1" applyFont="1" applyFill="1" applyBorder="1" applyAlignment="1">
      <alignment horizontal="center" vertical="top"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10" xfId="0" applyNumberFormat="1" applyFont="1" applyFill="1" applyBorder="1" applyAlignment="1">
      <alignment horizontal="center" wrapText="1"/>
    </xf>
    <xf numFmtId="49" fontId="6" fillId="0" borderId="10" xfId="61" applyNumberFormat="1" applyFont="1" applyFill="1" applyBorder="1" applyAlignment="1">
      <alignment vertical="center" wrapText="1"/>
      <protection/>
    </xf>
    <xf numFmtId="0" fontId="6" fillId="0" borderId="10" xfId="0" applyFont="1" applyFill="1" applyBorder="1" applyAlignment="1">
      <alignment vertical="top" wrapText="1"/>
    </xf>
    <xf numFmtId="0" fontId="6" fillId="0" borderId="10" xfId="0" applyFont="1" applyFill="1" applyBorder="1" applyAlignment="1">
      <alignment vertical="top" wrapText="1"/>
    </xf>
    <xf numFmtId="0" fontId="6" fillId="0" borderId="10" xfId="0" applyNumberFormat="1" applyFont="1" applyFill="1" applyBorder="1" applyAlignment="1">
      <alignment horizontal="center"/>
    </xf>
    <xf numFmtId="0" fontId="5" fillId="0" borderId="10" xfId="0" applyFont="1" applyFill="1" applyBorder="1" applyAlignment="1">
      <alignment horizontal="center" vertical="top" wrapText="1"/>
    </xf>
    <xf numFmtId="2" fontId="5" fillId="0" borderId="10" xfId="0" applyNumberFormat="1" applyFont="1" applyFill="1" applyBorder="1" applyAlignment="1">
      <alignment horizontal="center" vertical="center" wrapText="1"/>
    </xf>
    <xf numFmtId="1" fontId="6" fillId="0" borderId="15" xfId="0" applyNumberFormat="1" applyFont="1" applyFill="1" applyBorder="1" applyAlignment="1">
      <alignment vertical="top" wrapText="1"/>
    </xf>
    <xf numFmtId="1" fontId="6" fillId="0" borderId="16" xfId="0" applyNumberFormat="1" applyFont="1" applyFill="1" applyBorder="1" applyAlignment="1">
      <alignment vertical="top" wrapText="1"/>
    </xf>
    <xf numFmtId="2" fontId="6" fillId="0" borderId="10"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0" xfId="0" applyFont="1" applyFill="1" applyBorder="1" applyAlignment="1">
      <alignment horizontal="left" vertical="top" wrapText="1"/>
    </xf>
    <xf numFmtId="49" fontId="17" fillId="0" borderId="15" xfId="0" applyNumberFormat="1" applyFont="1" applyFill="1" applyBorder="1" applyAlignment="1">
      <alignment vertical="top" wrapText="1"/>
    </xf>
    <xf numFmtId="0" fontId="17" fillId="0" borderId="12" xfId="0" applyNumberFormat="1" applyFont="1" applyFill="1" applyBorder="1" applyAlignment="1">
      <alignment horizontal="center" vertical="top" wrapText="1"/>
    </xf>
    <xf numFmtId="0" fontId="17" fillId="0" borderId="12" xfId="0" applyNumberFormat="1" applyFont="1" applyFill="1" applyBorder="1" applyAlignment="1">
      <alignment horizontal="center" vertical="center" wrapText="1"/>
    </xf>
    <xf numFmtId="0" fontId="17" fillId="0" borderId="12" xfId="0" applyNumberFormat="1" applyFont="1" applyFill="1" applyBorder="1" applyAlignment="1">
      <alignment vertical="top" wrapText="1"/>
    </xf>
    <xf numFmtId="0" fontId="2" fillId="0" borderId="10" xfId="0" applyFont="1" applyFill="1" applyBorder="1" applyAlignment="1">
      <alignment horizontal="center" vertical="top" wrapText="1"/>
    </xf>
    <xf numFmtId="0" fontId="2"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center" vertical="top" wrapText="1"/>
    </xf>
    <xf numFmtId="0" fontId="17" fillId="0" borderId="10" xfId="0" applyFont="1" applyFill="1" applyBorder="1" applyAlignment="1">
      <alignment/>
    </xf>
    <xf numFmtId="0" fontId="17" fillId="0" borderId="16" xfId="0" applyFont="1" applyFill="1" applyBorder="1" applyAlignment="1">
      <alignment/>
    </xf>
    <xf numFmtId="0" fontId="17" fillId="0" borderId="16" xfId="0" applyFont="1" applyFill="1" applyBorder="1" applyAlignment="1">
      <alignment horizontal="center"/>
    </xf>
    <xf numFmtId="10" fontId="17" fillId="0" borderId="10" xfId="0" applyNumberFormat="1" applyFont="1" applyFill="1" applyBorder="1" applyAlignment="1">
      <alignment horizontal="right" vertical="center" wrapText="1"/>
    </xf>
    <xf numFmtId="0" fontId="17" fillId="0" borderId="10" xfId="0" applyFont="1" applyFill="1" applyBorder="1" applyAlignment="1">
      <alignment horizontal="left" wrapText="1"/>
    </xf>
    <xf numFmtId="0" fontId="17" fillId="0" borderId="10" xfId="0" applyFont="1" applyFill="1" applyBorder="1" applyAlignment="1">
      <alignment horizontal="center" wrapText="1"/>
    </xf>
    <xf numFmtId="2" fontId="2" fillId="0" borderId="10" xfId="0" applyNumberFormat="1" applyFont="1" applyFill="1" applyBorder="1" applyAlignment="1">
      <alignment horizontal="center"/>
    </xf>
    <xf numFmtId="9" fontId="17" fillId="0" borderId="10" xfId="0" applyNumberFormat="1" applyFont="1" applyFill="1" applyBorder="1" applyAlignment="1">
      <alignment horizontal="center" vertical="center" wrapText="1"/>
    </xf>
    <xf numFmtId="0" fontId="2" fillId="0" borderId="10" xfId="0" applyFont="1" applyFill="1" applyBorder="1" applyAlignment="1">
      <alignment horizontal="left" wrapText="1"/>
    </xf>
    <xf numFmtId="0" fontId="17" fillId="0" borderId="15" xfId="0" applyFont="1" applyFill="1" applyBorder="1" applyAlignment="1">
      <alignment horizontal="left" vertical="center" wrapText="1"/>
    </xf>
    <xf numFmtId="0" fontId="17" fillId="0" borderId="15" xfId="0" applyFont="1" applyFill="1" applyBorder="1" applyAlignment="1">
      <alignment vertical="top" wrapText="1"/>
    </xf>
    <xf numFmtId="0" fontId="17" fillId="0" borderId="16" xfId="0" applyFont="1" applyFill="1" applyBorder="1" applyAlignment="1">
      <alignment vertical="top" wrapText="1"/>
    </xf>
    <xf numFmtId="0" fontId="17" fillId="0" borderId="17" xfId="0" applyFont="1" applyFill="1" applyBorder="1" applyAlignment="1">
      <alignment vertical="top" wrapText="1"/>
    </xf>
    <xf numFmtId="0" fontId="17" fillId="0" borderId="15" xfId="0" applyFont="1" applyFill="1" applyBorder="1" applyAlignment="1">
      <alignment horizontal="center" vertical="top" wrapText="1"/>
    </xf>
    <xf numFmtId="0" fontId="17" fillId="0" borderId="10" xfId="0" applyFont="1" applyFill="1" applyBorder="1" applyAlignment="1" quotePrefix="1">
      <alignment horizontal="center" vertical="top" wrapText="1"/>
    </xf>
    <xf numFmtId="0" fontId="17" fillId="0" borderId="13" xfId="0" applyFont="1" applyFill="1" applyBorder="1" applyAlignment="1">
      <alignment horizontal="center" vertical="top" wrapText="1"/>
    </xf>
    <xf numFmtId="2" fontId="17" fillId="0" borderId="13" xfId="0" applyNumberFormat="1"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7"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15" xfId="0" applyFont="1" applyFill="1" applyBorder="1" applyAlignment="1">
      <alignment wrapText="1"/>
    </xf>
    <xf numFmtId="0" fontId="17" fillId="0" borderId="16" xfId="0" applyFont="1" applyFill="1" applyBorder="1" applyAlignment="1">
      <alignment wrapText="1"/>
    </xf>
    <xf numFmtId="2" fontId="17" fillId="0" borderId="10" xfId="0" applyNumberFormat="1" applyFont="1" applyFill="1" applyBorder="1" applyAlignment="1">
      <alignment horizontal="center" wrapText="1"/>
    </xf>
    <xf numFmtId="49" fontId="17" fillId="0" borderId="10" xfId="61" applyNumberFormat="1" applyFont="1" applyFill="1" applyBorder="1" applyAlignment="1">
      <alignment wrapText="1"/>
      <protection/>
    </xf>
    <xf numFmtId="49" fontId="2" fillId="0" borderId="10" xfId="61" applyNumberFormat="1"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17" fillId="0" borderId="10" xfId="61" applyNumberFormat="1" applyFont="1" applyFill="1" applyBorder="1" applyAlignment="1">
      <alignment horizontal="center" wrapText="1"/>
      <protection/>
    </xf>
    <xf numFmtId="49" fontId="17" fillId="0" borderId="10" xfId="61" applyNumberFormat="1" applyFont="1" applyFill="1" applyBorder="1" applyAlignment="1">
      <alignment horizontal="center" wrapText="1"/>
      <protection/>
    </xf>
    <xf numFmtId="2" fontId="17" fillId="0" borderId="10" xfId="61" applyNumberFormat="1" applyFont="1" applyFill="1" applyBorder="1" applyAlignment="1">
      <alignment horizontal="center" wrapText="1"/>
      <protection/>
    </xf>
    <xf numFmtId="2" fontId="2" fillId="0" borderId="10" xfId="61" applyNumberFormat="1" applyFont="1" applyFill="1" applyBorder="1" applyAlignment="1">
      <alignment horizontal="center" wrapText="1"/>
      <protection/>
    </xf>
    <xf numFmtId="1" fontId="0" fillId="0" borderId="10" xfId="0" applyNumberFormat="1" applyFill="1" applyBorder="1" applyAlignment="1">
      <alignment horizontal="center" vertical="center"/>
    </xf>
    <xf numFmtId="2" fontId="0" fillId="0" borderId="19" xfId="0" applyNumberFormat="1" applyFill="1" applyBorder="1" applyAlignment="1">
      <alignment horizontal="center" vertical="center"/>
    </xf>
    <xf numFmtId="49" fontId="0" fillId="0" borderId="10" xfId="0" applyNumberFormat="1" applyFont="1" applyFill="1" applyBorder="1" applyAlignment="1">
      <alignment horizontal="left" vertical="center" wrapText="1"/>
    </xf>
    <xf numFmtId="10" fontId="0"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left" vertical="center" wrapText="1"/>
    </xf>
    <xf numFmtId="2" fontId="17" fillId="0" borderId="13" xfId="0" applyNumberFormat="1" applyFont="1" applyFill="1" applyBorder="1" applyAlignment="1">
      <alignment horizontal="center" vertical="center" wrapText="1"/>
    </xf>
    <xf numFmtId="0" fontId="17" fillId="0" borderId="19" xfId="0" applyFont="1" applyFill="1" applyBorder="1" applyAlignment="1">
      <alignment horizontal="center" vertical="top" wrapText="1"/>
    </xf>
    <xf numFmtId="2" fontId="32" fillId="0" borderId="10" xfId="0" applyNumberFormat="1" applyFont="1" applyFill="1" applyBorder="1" applyAlignment="1">
      <alignment horizontal="center" vertical="center" wrapText="1"/>
    </xf>
    <xf numFmtId="0" fontId="17" fillId="0" borderId="13" xfId="0" applyFont="1" applyFill="1" applyBorder="1" applyAlignment="1">
      <alignment vertical="center" wrapText="1"/>
    </xf>
    <xf numFmtId="1" fontId="17" fillId="0" borderId="10" xfId="0" applyNumberFormat="1" applyFont="1" applyFill="1" applyBorder="1" applyAlignment="1">
      <alignment horizontal="center" vertical="center" wrapText="1"/>
    </xf>
    <xf numFmtId="190" fontId="17" fillId="0" borderId="10" xfId="0" applyNumberFormat="1"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2" xfId="0" applyFont="1" applyFill="1" applyBorder="1" applyAlignment="1">
      <alignment vertical="top" wrapText="1"/>
    </xf>
    <xf numFmtId="1" fontId="17" fillId="0" borderId="12" xfId="0" applyNumberFormat="1" applyFont="1" applyFill="1" applyBorder="1" applyAlignment="1">
      <alignment horizontal="center" vertical="center" wrapText="1"/>
    </xf>
    <xf numFmtId="2" fontId="17" fillId="0" borderId="12" xfId="0" applyNumberFormat="1" applyFont="1" applyFill="1" applyBorder="1" applyAlignment="1">
      <alignment horizontal="center" vertical="center" wrapText="1"/>
    </xf>
    <xf numFmtId="0" fontId="17" fillId="0" borderId="10" xfId="0" applyNumberFormat="1" applyFont="1" applyFill="1" applyBorder="1" applyAlignment="1">
      <alignment horizontal="center" vertical="top"/>
    </xf>
    <xf numFmtId="2" fontId="17" fillId="0" borderId="12" xfId="0" applyNumberFormat="1" applyFont="1" applyFill="1" applyBorder="1" applyAlignment="1">
      <alignment horizontal="center" vertical="top" wrapText="1"/>
    </xf>
    <xf numFmtId="0" fontId="17" fillId="0" borderId="10" xfId="0" applyFont="1" applyFill="1" applyBorder="1" applyAlignment="1">
      <alignment vertical="center"/>
    </xf>
    <xf numFmtId="0" fontId="2" fillId="0" borderId="12" xfId="0" applyNumberFormat="1" applyFont="1" applyFill="1" applyBorder="1" applyAlignment="1">
      <alignment vertical="center" wrapText="1"/>
    </xf>
    <xf numFmtId="0" fontId="2" fillId="0" borderId="12" xfId="0" applyFont="1" applyFill="1" applyBorder="1" applyAlignment="1">
      <alignment vertical="center" wrapText="1"/>
    </xf>
    <xf numFmtId="2" fontId="2" fillId="0" borderId="12" xfId="0" applyNumberFormat="1" applyFont="1" applyFill="1" applyBorder="1" applyAlignment="1">
      <alignment horizontal="center" vertical="center" wrapText="1"/>
    </xf>
    <xf numFmtId="0" fontId="2" fillId="0" borderId="15" xfId="0" applyNumberFormat="1" applyFont="1" applyFill="1" applyBorder="1" applyAlignment="1">
      <alignment vertical="center" wrapText="1"/>
    </xf>
    <xf numFmtId="0" fontId="2" fillId="0" borderId="16" xfId="0" applyNumberFormat="1" applyFont="1" applyFill="1" applyBorder="1" applyAlignment="1">
      <alignment vertical="center" wrapText="1"/>
    </xf>
    <xf numFmtId="0" fontId="17" fillId="0" borderId="16" xfId="0" applyNumberFormat="1" applyFont="1" applyFill="1" applyBorder="1" applyAlignment="1">
      <alignment horizontal="center" vertical="center" wrapText="1"/>
    </xf>
    <xf numFmtId="0" fontId="17" fillId="0" borderId="10" xfId="0" applyNumberFormat="1" applyFont="1" applyFill="1" applyBorder="1" applyAlignment="1">
      <alignment vertical="center" wrapText="1"/>
    </xf>
    <xf numFmtId="0" fontId="17" fillId="0" borderId="12" xfId="0" applyFont="1" applyFill="1" applyBorder="1" applyAlignment="1">
      <alignment vertical="center" wrapText="1"/>
    </xf>
    <xf numFmtId="0" fontId="17" fillId="0" borderId="12" xfId="0" applyNumberFormat="1" applyFont="1" applyFill="1" applyBorder="1" applyAlignment="1">
      <alignment vertical="center" wrapText="1"/>
    </xf>
    <xf numFmtId="0" fontId="2" fillId="0" borderId="12" xfId="0" applyFont="1" applyFill="1" applyBorder="1" applyAlignment="1">
      <alignment horizontal="center" vertical="top" wrapText="1"/>
    </xf>
    <xf numFmtId="0" fontId="2" fillId="0" borderId="10" xfId="0" applyFont="1" applyFill="1" applyBorder="1" applyAlignment="1">
      <alignment vertical="center" wrapText="1"/>
    </xf>
    <xf numFmtId="0" fontId="17" fillId="0" borderId="10" xfId="0" applyFont="1" applyFill="1" applyBorder="1" applyAlignment="1">
      <alignment horizontal="right" vertical="center" wrapText="1"/>
    </xf>
    <xf numFmtId="0" fontId="17" fillId="0" borderId="13" xfId="0" applyFont="1" applyFill="1" applyBorder="1" applyAlignment="1">
      <alignment vertical="top" wrapText="1"/>
    </xf>
    <xf numFmtId="0" fontId="17" fillId="0" borderId="13" xfId="0" applyNumberFormat="1" applyFont="1" applyFill="1" applyBorder="1" applyAlignment="1">
      <alignment horizontal="center" vertical="center"/>
    </xf>
    <xf numFmtId="2" fontId="17" fillId="0" borderId="13" xfId="0" applyNumberFormat="1" applyFont="1" applyFill="1" applyBorder="1" applyAlignment="1">
      <alignment horizontal="center" vertical="center"/>
    </xf>
    <xf numFmtId="0" fontId="17" fillId="0" borderId="13" xfId="0" applyFont="1" applyFill="1" applyBorder="1" applyAlignment="1" quotePrefix="1">
      <alignment horizontal="center" vertical="center"/>
    </xf>
    <xf numFmtId="0" fontId="17" fillId="0" borderId="10" xfId="0" applyFont="1" applyFill="1" applyBorder="1" applyAlignment="1" quotePrefix="1">
      <alignment horizontal="center" vertical="center"/>
    </xf>
    <xf numFmtId="0" fontId="17" fillId="0" borderId="10" xfId="0" applyFont="1" applyFill="1" applyBorder="1" applyAlignment="1">
      <alignment horizontal="right" vertical="top"/>
    </xf>
    <xf numFmtId="0" fontId="17" fillId="0" borderId="10" xfId="0" applyFont="1" applyFill="1" applyBorder="1" applyAlignment="1" quotePrefix="1">
      <alignment horizontal="center"/>
    </xf>
    <xf numFmtId="0" fontId="33" fillId="0" borderId="15" xfId="0" applyFont="1" applyFill="1" applyBorder="1" applyAlignment="1">
      <alignment vertical="center" wrapText="1"/>
    </xf>
    <xf numFmtId="1" fontId="17" fillId="0" borderId="13" xfId="0" applyNumberFormat="1" applyFont="1" applyFill="1" applyBorder="1" applyAlignment="1">
      <alignment horizontal="center" vertical="center"/>
    </xf>
    <xf numFmtId="0" fontId="17" fillId="0" borderId="15" xfId="0" applyNumberFormat="1" applyFont="1" applyFill="1" applyBorder="1" applyAlignment="1">
      <alignment vertical="center"/>
    </xf>
    <xf numFmtId="0" fontId="17" fillId="0" borderId="16" xfId="0" applyNumberFormat="1" applyFont="1" applyFill="1" applyBorder="1" applyAlignment="1">
      <alignment vertical="center"/>
    </xf>
    <xf numFmtId="0" fontId="17" fillId="0" borderId="17" xfId="0" applyNumberFormat="1" applyFont="1" applyFill="1" applyBorder="1" applyAlignment="1">
      <alignment vertical="center"/>
    </xf>
    <xf numFmtId="0" fontId="39" fillId="0" borderId="15" xfId="0" applyFont="1" applyFill="1" applyBorder="1" applyAlignment="1">
      <alignment vertical="center"/>
    </xf>
    <xf numFmtId="0" fontId="39" fillId="0" borderId="16" xfId="0" applyFont="1" applyFill="1" applyBorder="1" applyAlignment="1">
      <alignment vertical="center"/>
    </xf>
    <xf numFmtId="2" fontId="22" fillId="0"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39" fillId="0" borderId="10" xfId="0" applyNumberFormat="1" applyFont="1" applyFill="1" applyBorder="1" applyAlignment="1">
      <alignment horizontal="center" vertical="center"/>
    </xf>
    <xf numFmtId="2" fontId="39" fillId="0" borderId="10" xfId="0" applyNumberFormat="1" applyFont="1" applyFill="1" applyBorder="1" applyAlignment="1">
      <alignment horizontal="center" vertical="center"/>
    </xf>
    <xf numFmtId="49" fontId="22" fillId="0" borderId="10" xfId="0" applyNumberFormat="1" applyFont="1" applyFill="1" applyBorder="1" applyAlignment="1">
      <alignment vertical="center" wrapText="1"/>
    </xf>
    <xf numFmtId="1" fontId="39" fillId="0" borderId="10" xfId="0" applyNumberFormat="1" applyFont="1" applyFill="1" applyBorder="1" applyAlignment="1">
      <alignment vertical="center"/>
    </xf>
    <xf numFmtId="1" fontId="39" fillId="0" borderId="10" xfId="0" applyNumberFormat="1"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NumberFormat="1" applyFont="1" applyFill="1" applyBorder="1" applyAlignment="1">
      <alignment horizontal="center" vertical="center"/>
    </xf>
    <xf numFmtId="2" fontId="22" fillId="0" borderId="17" xfId="0" applyNumberFormat="1" applyFont="1" applyFill="1" applyBorder="1" applyAlignment="1">
      <alignment horizontal="center" vertical="center"/>
    </xf>
    <xf numFmtId="2" fontId="22" fillId="0" borderId="16" xfId="0" applyNumberFormat="1" applyFont="1" applyFill="1" applyBorder="1" applyAlignment="1">
      <alignment horizontal="center" vertical="center"/>
    </xf>
    <xf numFmtId="2" fontId="0" fillId="0" borderId="12" xfId="0" applyNumberFormat="1" applyFont="1" applyFill="1" applyBorder="1" applyAlignment="1">
      <alignment horizontal="center"/>
    </xf>
    <xf numFmtId="2" fontId="39" fillId="0" borderId="10" xfId="0" applyNumberFormat="1" applyFont="1" applyFill="1" applyBorder="1" applyAlignment="1">
      <alignment horizontal="center" vertical="top"/>
    </xf>
    <xf numFmtId="2" fontId="2" fillId="0" borderId="10" xfId="0" applyNumberFormat="1" applyFont="1" applyFill="1" applyBorder="1" applyAlignment="1">
      <alignment horizontal="center" vertical="top" wrapText="1"/>
    </xf>
    <xf numFmtId="0" fontId="17" fillId="0" borderId="0" xfId="0" applyFont="1" applyFill="1" applyBorder="1" applyAlignment="1">
      <alignment horizontal="left" vertical="top"/>
    </xf>
    <xf numFmtId="0" fontId="5" fillId="0" borderId="0" xfId="0" applyFont="1" applyFill="1" applyBorder="1" applyAlignment="1">
      <alignment horizontal="center" vertical="top" wrapText="1"/>
    </xf>
    <xf numFmtId="0" fontId="50" fillId="0" borderId="0" xfId="0" applyFont="1" applyFill="1" applyBorder="1" applyAlignment="1">
      <alignment vertical="center" wrapText="1"/>
    </xf>
    <xf numFmtId="0" fontId="65" fillId="0" borderId="12" xfId="0" applyFont="1" applyBorder="1" applyAlignment="1">
      <alignment horizontal="center" vertical="top" wrapText="1"/>
    </xf>
    <xf numFmtId="0" fontId="7" fillId="0" borderId="10" xfId="0" applyFont="1" applyFill="1" applyBorder="1" applyAlignment="1">
      <alignment vertical="top" wrapText="1"/>
    </xf>
    <xf numFmtId="0" fontId="0" fillId="0" borderId="15" xfId="0" applyBorder="1" applyAlignment="1">
      <alignment/>
    </xf>
    <xf numFmtId="1" fontId="11" fillId="0" borderId="13" xfId="0" applyNumberFormat="1" applyFont="1" applyFill="1" applyBorder="1" applyAlignment="1">
      <alignment horizontal="center" vertical="center" wrapText="1"/>
    </xf>
    <xf numFmtId="1" fontId="11" fillId="0" borderId="10"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1" fontId="6" fillId="0" borderId="15" xfId="0" applyNumberFormat="1" applyFont="1" applyFill="1" applyBorder="1" applyAlignment="1" applyProtection="1">
      <alignment vertical="center" wrapText="1"/>
      <protection/>
    </xf>
    <xf numFmtId="1" fontId="6" fillId="0" borderId="10" xfId="0" applyNumberFormat="1" applyFont="1" applyFill="1" applyBorder="1" applyAlignment="1" applyProtection="1">
      <alignment vertical="center"/>
      <protection/>
    </xf>
    <xf numFmtId="1" fontId="0" fillId="0" borderId="10" xfId="0" applyNumberFormat="1" applyFill="1" applyBorder="1" applyAlignment="1">
      <alignment horizontal="left" vertical="center" wrapText="1"/>
    </xf>
    <xf numFmtId="0" fontId="28" fillId="0" borderId="0" xfId="0" applyFont="1" applyFill="1" applyBorder="1" applyAlignment="1">
      <alignment vertical="top"/>
    </xf>
    <xf numFmtId="0" fontId="44" fillId="0" borderId="10" xfId="0" applyFont="1" applyFill="1" applyBorder="1" applyAlignment="1">
      <alignment horizontal="center" vertical="center" wrapText="1"/>
    </xf>
    <xf numFmtId="0" fontId="7" fillId="0" borderId="17" xfId="0" applyFont="1" applyBorder="1" applyAlignment="1">
      <alignment vertical="center" wrapText="1"/>
    </xf>
    <xf numFmtId="1" fontId="5" fillId="0" borderId="0" xfId="0" applyNumberFormat="1" applyFont="1" applyFill="1" applyBorder="1" applyAlignment="1">
      <alignment horizontal="center" vertical="top" wrapText="1"/>
    </xf>
    <xf numFmtId="0" fontId="17" fillId="0" borderId="0" xfId="0" applyFont="1" applyBorder="1" applyAlignment="1">
      <alignment horizontal="center" vertical="top" wrapText="1"/>
    </xf>
    <xf numFmtId="2" fontId="5" fillId="0" borderId="0" xfId="0" applyNumberFormat="1" applyFont="1" applyFill="1" applyBorder="1" applyAlignment="1">
      <alignment horizontal="center" vertical="top" wrapText="1"/>
    </xf>
    <xf numFmtId="0" fontId="7" fillId="0" borderId="0" xfId="0" applyFont="1" applyFill="1" applyAlignment="1">
      <alignment vertical="top" wrapText="1"/>
    </xf>
    <xf numFmtId="0" fontId="64" fillId="0" borderId="0" xfId="0" applyFont="1" applyFill="1" applyAlignment="1">
      <alignment vertical="top" wrapText="1"/>
    </xf>
    <xf numFmtId="0" fontId="5" fillId="0" borderId="0" xfId="0" applyFont="1" applyFill="1" applyBorder="1" applyAlignment="1" quotePrefix="1">
      <alignment horizontal="center" vertical="top" wrapText="1"/>
    </xf>
    <xf numFmtId="0" fontId="47" fillId="0" borderId="0" xfId="0" applyFont="1" applyFill="1" applyAlignment="1">
      <alignment vertical="top" wrapText="1"/>
    </xf>
    <xf numFmtId="0" fontId="7" fillId="0" borderId="0" xfId="0" applyFont="1" applyFill="1" applyBorder="1" applyAlignment="1">
      <alignment vertical="top" wrapText="1"/>
    </xf>
    <xf numFmtId="0" fontId="0" fillId="0" borderId="0" xfId="0" applyFont="1" applyFill="1" applyAlignment="1">
      <alignment vertical="top" wrapText="1"/>
    </xf>
    <xf numFmtId="0" fontId="62" fillId="0" borderId="0" xfId="0" applyFont="1" applyFill="1" applyAlignment="1">
      <alignment vertical="top" wrapText="1"/>
    </xf>
    <xf numFmtId="0" fontId="58" fillId="0" borderId="10" xfId="0" applyFont="1" applyFill="1" applyBorder="1" applyAlignment="1">
      <alignment horizontal="center" vertical="top"/>
    </xf>
    <xf numFmtId="0" fontId="58" fillId="0" borderId="10" xfId="0" applyFont="1" applyFill="1" applyBorder="1" applyAlignment="1">
      <alignment vertical="top" wrapText="1"/>
    </xf>
    <xf numFmtId="0" fontId="58" fillId="0" borderId="10" xfId="0" applyFont="1" applyFill="1" applyBorder="1" applyAlignment="1">
      <alignment horizontal="center" vertical="top" wrapText="1"/>
    </xf>
    <xf numFmtId="0" fontId="61" fillId="0" borderId="10" xfId="0" applyFont="1" applyFill="1" applyBorder="1" applyAlignment="1">
      <alignment vertical="top"/>
    </xf>
    <xf numFmtId="2" fontId="59" fillId="0" borderId="10" xfId="0" applyNumberFormat="1" applyFont="1" applyFill="1" applyBorder="1" applyAlignment="1">
      <alignment horizontal="left" vertical="top" wrapText="1"/>
    </xf>
    <xf numFmtId="2" fontId="58" fillId="0" borderId="10" xfId="0" applyNumberFormat="1" applyFont="1" applyFill="1" applyBorder="1" applyAlignment="1">
      <alignment horizontal="center" vertical="top"/>
    </xf>
    <xf numFmtId="193" fontId="58" fillId="0" borderId="10" xfId="0" applyNumberFormat="1" applyFont="1" applyFill="1" applyBorder="1" applyAlignment="1">
      <alignment horizontal="center" vertical="top"/>
    </xf>
    <xf numFmtId="2" fontId="58" fillId="0" borderId="10" xfId="0" applyNumberFormat="1" applyFont="1" applyFill="1" applyBorder="1" applyAlignment="1">
      <alignment horizontal="center" vertical="center"/>
    </xf>
    <xf numFmtId="2" fontId="59" fillId="0" borderId="10" xfId="0" applyNumberFormat="1" applyFont="1" applyFill="1" applyBorder="1" applyAlignment="1">
      <alignment horizontal="center" vertical="top" wrapText="1"/>
    </xf>
    <xf numFmtId="0" fontId="67" fillId="0" borderId="0" xfId="0" applyFont="1" applyFill="1" applyAlignment="1">
      <alignment/>
    </xf>
    <xf numFmtId="0" fontId="61" fillId="0" borderId="0" xfId="0" applyFont="1" applyFill="1" applyAlignment="1">
      <alignment/>
    </xf>
    <xf numFmtId="0" fontId="58" fillId="0" borderId="10" xfId="0" applyFont="1" applyFill="1" applyBorder="1" applyAlignment="1">
      <alignment horizontal="left" vertical="center" wrapText="1"/>
    </xf>
    <xf numFmtId="0" fontId="58" fillId="0" borderId="10" xfId="0" applyFont="1" applyFill="1" applyBorder="1" applyAlignment="1">
      <alignment horizontal="center" vertical="center"/>
    </xf>
    <xf numFmtId="0" fontId="58" fillId="0" borderId="10" xfId="0" applyFont="1" applyFill="1" applyBorder="1" applyAlignment="1">
      <alignment vertical="center" wrapText="1"/>
    </xf>
    <xf numFmtId="0" fontId="58" fillId="0" borderId="10" xfId="0" applyFont="1" applyFill="1" applyBorder="1" applyAlignment="1">
      <alignment horizontal="center" vertical="center" wrapText="1"/>
    </xf>
    <xf numFmtId="0" fontId="61" fillId="0" borderId="10" xfId="0" applyFont="1" applyFill="1" applyBorder="1" applyAlignment="1">
      <alignment/>
    </xf>
    <xf numFmtId="1" fontId="58" fillId="0" borderId="10" xfId="0" applyNumberFormat="1" applyFont="1" applyFill="1" applyBorder="1" applyAlignment="1">
      <alignment horizontal="center" vertical="top" wrapText="1"/>
    </xf>
    <xf numFmtId="0" fontId="58" fillId="0" borderId="10" xfId="0" applyNumberFormat="1" applyFont="1" applyFill="1" applyBorder="1" applyAlignment="1">
      <alignment horizontal="center" vertical="top" wrapText="1"/>
    </xf>
    <xf numFmtId="2" fontId="67" fillId="0" borderId="10" xfId="0" applyNumberFormat="1" applyFont="1" applyFill="1" applyBorder="1" applyAlignment="1">
      <alignment horizontal="center" vertical="center"/>
    </xf>
    <xf numFmtId="0" fontId="58" fillId="0" borderId="10" xfId="0" applyFont="1" applyFill="1" applyBorder="1" applyAlignment="1">
      <alignment horizontal="left" vertical="top" wrapText="1"/>
    </xf>
    <xf numFmtId="1" fontId="58" fillId="0" borderId="10" xfId="0" applyNumberFormat="1" applyFont="1" applyFill="1" applyBorder="1" applyAlignment="1">
      <alignment horizontal="center" vertical="center" wrapText="1"/>
    </xf>
    <xf numFmtId="1" fontId="58" fillId="0" borderId="10" xfId="0" applyNumberFormat="1" applyFont="1" applyFill="1" applyBorder="1" applyAlignment="1">
      <alignment horizontal="center" vertical="top"/>
    </xf>
    <xf numFmtId="2" fontId="58" fillId="0" borderId="10" xfId="0" applyNumberFormat="1" applyFont="1" applyFill="1" applyBorder="1" applyAlignment="1">
      <alignment horizontal="center" vertical="top" wrapText="1"/>
    </xf>
    <xf numFmtId="0" fontId="45" fillId="0" borderId="0" xfId="0" applyNumberFormat="1" applyFont="1" applyFill="1" applyBorder="1" applyAlignment="1">
      <alignment vertical="top" wrapText="1"/>
    </xf>
    <xf numFmtId="0" fontId="68" fillId="0" borderId="0" xfId="0" applyFont="1" applyFill="1" applyAlignment="1">
      <alignment/>
    </xf>
    <xf numFmtId="2" fontId="17" fillId="0" borderId="15" xfId="0" applyNumberFormat="1" applyFont="1" applyFill="1" applyBorder="1" applyAlignment="1">
      <alignment horizontal="center" vertical="center"/>
    </xf>
    <xf numFmtId="0" fontId="35" fillId="0" borderId="0" xfId="0" applyFont="1" applyFill="1" applyBorder="1" applyAlignment="1">
      <alignment vertical="center" wrapText="1"/>
    </xf>
    <xf numFmtId="0" fontId="0" fillId="0" borderId="0" xfId="0" applyFont="1" applyFill="1" applyBorder="1" applyAlignment="1">
      <alignment horizontal="left" vertical="center"/>
    </xf>
    <xf numFmtId="2" fontId="0" fillId="0" borderId="10" xfId="0" applyNumberFormat="1" applyFont="1" applyFill="1" applyBorder="1" applyAlignment="1">
      <alignment horizontal="center" vertical="top"/>
    </xf>
    <xf numFmtId="0" fontId="11" fillId="0" borderId="12" xfId="0" applyFont="1" applyBorder="1" applyAlignment="1">
      <alignment horizontal="center" vertical="top" wrapText="1"/>
    </xf>
    <xf numFmtId="0" fontId="11" fillId="0" borderId="19" xfId="0" applyFont="1" applyBorder="1" applyAlignment="1">
      <alignment horizontal="center" vertical="top" wrapText="1"/>
    </xf>
    <xf numFmtId="0" fontId="11" fillId="0" borderId="13" xfId="0" applyFont="1" applyBorder="1" applyAlignment="1">
      <alignment horizontal="center" vertical="top" wrapText="1"/>
    </xf>
    <xf numFmtId="0" fontId="38" fillId="0" borderId="0" xfId="0" applyFont="1" applyBorder="1" applyAlignment="1">
      <alignment horizontal="center" vertical="top" wrapText="1"/>
    </xf>
    <xf numFmtId="0" fontId="11" fillId="0" borderId="10" xfId="0" applyFont="1" applyBorder="1" applyAlignment="1">
      <alignment horizontal="center" vertical="top"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quotePrefix="1">
      <alignment horizontal="center" vertical="top" wrapText="1"/>
    </xf>
    <xf numFmtId="0" fontId="11" fillId="0" borderId="19" xfId="0" applyFont="1" applyBorder="1" applyAlignment="1" quotePrefix="1">
      <alignment horizontal="center" vertical="top" wrapText="1"/>
    </xf>
    <xf numFmtId="0" fontId="11" fillId="0" borderId="13" xfId="0" applyFont="1" applyBorder="1" applyAlignment="1" quotePrefix="1">
      <alignment horizontal="center" vertical="top" wrapText="1"/>
    </xf>
    <xf numFmtId="0" fontId="11" fillId="0" borderId="10" xfId="0" applyFont="1" applyFill="1" applyBorder="1" applyAlignment="1">
      <alignment horizontal="center" vertical="top" wrapText="1"/>
    </xf>
    <xf numFmtId="0" fontId="11" fillId="0" borderId="0" xfId="0" applyFont="1" applyFill="1" applyAlignment="1">
      <alignment horizontal="center" vertical="center"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48" fillId="0" borderId="15" xfId="0" applyFont="1" applyBorder="1" applyAlignment="1">
      <alignment horizontal="center" vertical="top" wrapText="1"/>
    </xf>
    <xf numFmtId="0" fontId="48" fillId="0" borderId="17" xfId="0" applyFont="1" applyBorder="1" applyAlignment="1">
      <alignment horizontal="center"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28" fillId="0" borderId="14" xfId="0" applyFont="1" applyBorder="1" applyAlignment="1">
      <alignment horizontal="left" vertical="top" wrapText="1"/>
    </xf>
    <xf numFmtId="0" fontId="28" fillId="0" borderId="0" xfId="0" applyFont="1" applyBorder="1" applyAlignment="1">
      <alignment horizontal="left" vertical="top"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8" xfId="0" applyFont="1" applyBorder="1" applyAlignment="1">
      <alignment horizontal="center" vertical="center" wrapText="1"/>
    </xf>
    <xf numFmtId="2" fontId="5" fillId="32" borderId="0" xfId="0" applyNumberFormat="1" applyFont="1" applyFill="1" applyBorder="1" applyAlignment="1">
      <alignment horizontal="center" wrapText="1"/>
    </xf>
    <xf numFmtId="2" fontId="5" fillId="0" borderId="15"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2" fontId="5" fillId="0" borderId="17" xfId="0" applyNumberFormat="1" applyFont="1" applyFill="1" applyBorder="1" applyAlignment="1">
      <alignment horizontal="center" vertical="center" wrapText="1"/>
    </xf>
    <xf numFmtId="2" fontId="5" fillId="0" borderId="10" xfId="0" applyNumberFormat="1" applyFont="1" applyFill="1" applyBorder="1" applyAlignment="1">
      <alignment horizontal="justify" vertical="center" wrapText="1"/>
    </xf>
    <xf numFmtId="49" fontId="28" fillId="0" borderId="0" xfId="0" applyNumberFormat="1" applyFont="1" applyFill="1" applyBorder="1" applyAlignment="1">
      <alignment horizontal="center" wrapText="1"/>
    </xf>
    <xf numFmtId="49" fontId="5" fillId="0" borderId="0" xfId="0" applyNumberFormat="1" applyFont="1" applyFill="1" applyAlignment="1">
      <alignment horizont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wrapText="1"/>
    </xf>
    <xf numFmtId="49" fontId="66"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49" fontId="28" fillId="0" borderId="0" xfId="0" applyNumberFormat="1" applyFont="1" applyFill="1" applyAlignment="1">
      <alignment horizontal="center" wrapText="1"/>
    </xf>
    <xf numFmtId="49" fontId="6"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5" fillId="0" borderId="15"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top" wrapText="1"/>
    </xf>
    <xf numFmtId="49" fontId="6" fillId="0" borderId="19"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10"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32" borderId="0" xfId="0" applyFont="1" applyFill="1" applyBorder="1" applyAlignment="1">
      <alignment horizontal="center" vertical="center" wrapText="1"/>
    </xf>
    <xf numFmtId="49" fontId="6" fillId="32" borderId="0" xfId="0" applyNumberFormat="1" applyFont="1" applyFill="1" applyBorder="1" applyAlignment="1">
      <alignment horizontal="center" vertical="center" wrapText="1"/>
    </xf>
    <xf numFmtId="0" fontId="28" fillId="0" borderId="0" xfId="0" applyFont="1" applyFill="1" applyBorder="1" applyAlignment="1">
      <alignment horizontal="center"/>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30" fillId="0" borderId="0" xfId="0" applyFont="1" applyFill="1" applyBorder="1" applyAlignment="1" applyProtection="1">
      <alignment horizontal="center" vertical="center"/>
      <protection/>
    </xf>
    <xf numFmtId="0" fontId="5" fillId="0" borderId="10" xfId="0" applyFont="1"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6" fillId="0" borderId="10" xfId="0" applyFont="1" applyFill="1" applyBorder="1" applyAlignment="1">
      <alignment horizontal="left" vertical="top"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32" borderId="0" xfId="0" applyFont="1" applyFill="1" applyAlignment="1">
      <alignment horizontal="center" vertical="center"/>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49" fontId="6" fillId="32" borderId="0" xfId="0" applyNumberFormat="1" applyFont="1" applyFill="1" applyAlignment="1">
      <alignment horizontal="left" vertical="center" wrapText="1"/>
    </xf>
    <xf numFmtId="49" fontId="30" fillId="0" borderId="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49" fontId="5" fillId="0" borderId="0" xfId="0" applyNumberFormat="1" applyFont="1" applyFill="1" applyAlignment="1">
      <alignment horizontal="left" wrapText="1"/>
    </xf>
    <xf numFmtId="49" fontId="6" fillId="0" borderId="10" xfId="0" applyNumberFormat="1" applyFont="1" applyFill="1" applyBorder="1" applyAlignment="1">
      <alignment horizontal="left" vertical="top" wrapText="1"/>
    </xf>
    <xf numFmtId="49" fontId="6" fillId="0" borderId="19"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28" fillId="0" borderId="0" xfId="0" applyNumberFormat="1" applyFont="1" applyFill="1" applyBorder="1" applyAlignment="1">
      <alignment horizontal="center" vertical="center" wrapText="1"/>
    </xf>
    <xf numFmtId="49" fontId="6" fillId="32" borderId="0" xfId="0" applyNumberFormat="1" applyFont="1" applyFill="1" applyBorder="1" applyAlignment="1">
      <alignment horizontal="left" vertical="center" wrapText="1"/>
    </xf>
    <xf numFmtId="49" fontId="33" fillId="0" borderId="0" xfId="0" applyNumberFormat="1" applyFont="1" applyFill="1" applyAlignment="1">
      <alignment horizontal="center" wrapText="1"/>
    </xf>
    <xf numFmtId="49" fontId="28" fillId="0" borderId="0" xfId="61" applyNumberFormat="1" applyFont="1" applyFill="1" applyBorder="1" applyAlignment="1">
      <alignment horizontal="center" wrapText="1"/>
      <protection/>
    </xf>
    <xf numFmtId="0" fontId="33" fillId="0" borderId="0" xfId="0" applyFont="1" applyFill="1" applyBorder="1" applyAlignment="1">
      <alignment horizontal="center" vertical="center" wrapText="1"/>
    </xf>
    <xf numFmtId="0" fontId="17" fillId="0" borderId="12" xfId="0" applyFont="1" applyFill="1" applyBorder="1" applyAlignment="1">
      <alignment horizontal="center" vertical="top"/>
    </xf>
    <xf numFmtId="0" fontId="17" fillId="0" borderId="13" xfId="0" applyFont="1" applyFill="1" applyBorder="1" applyAlignment="1">
      <alignment horizontal="center" vertical="top"/>
    </xf>
    <xf numFmtId="0" fontId="17" fillId="0" borderId="10" xfId="0" applyFont="1" applyFill="1" applyBorder="1" applyAlignment="1">
      <alignment horizontal="center" vertical="top"/>
    </xf>
    <xf numFmtId="0" fontId="17" fillId="0" borderId="19" xfId="0" applyFont="1" applyFill="1" applyBorder="1" applyAlignment="1">
      <alignment horizontal="center" vertical="top"/>
    </xf>
    <xf numFmtId="0" fontId="5" fillId="0" borderId="10" xfId="66" applyFont="1" applyFill="1" applyBorder="1" applyAlignment="1">
      <alignment horizontal="left" vertical="top" wrapText="1"/>
      <protection/>
    </xf>
    <xf numFmtId="49" fontId="5" fillId="0" borderId="10" xfId="61" applyNumberFormat="1" applyFont="1" applyFill="1" applyBorder="1" applyAlignment="1">
      <alignment horizontal="center" vertical="center" wrapText="1"/>
      <protection/>
    </xf>
    <xf numFmtId="0" fontId="17" fillId="0" borderId="12" xfId="61" applyNumberFormat="1" applyFont="1" applyFill="1" applyBorder="1" applyAlignment="1">
      <alignment horizontal="center" vertical="top" wrapText="1"/>
      <protection/>
    </xf>
    <xf numFmtId="49" fontId="17" fillId="0" borderId="19" xfId="61" applyNumberFormat="1" applyFont="1" applyFill="1" applyBorder="1" applyAlignment="1">
      <alignment horizontal="center" vertical="top" wrapText="1"/>
      <protection/>
    </xf>
    <xf numFmtId="49" fontId="17" fillId="0" borderId="13" xfId="61" applyNumberFormat="1" applyFont="1" applyFill="1" applyBorder="1" applyAlignment="1">
      <alignment horizontal="center" vertical="top" wrapText="1"/>
      <protection/>
    </xf>
    <xf numFmtId="0" fontId="17" fillId="0" borderId="19" xfId="61" applyNumberFormat="1" applyFont="1" applyFill="1" applyBorder="1" applyAlignment="1">
      <alignment horizontal="center" vertical="top" wrapText="1"/>
      <protection/>
    </xf>
    <xf numFmtId="0" fontId="17" fillId="0" borderId="13" xfId="61" applyNumberFormat="1" applyFont="1" applyFill="1" applyBorder="1" applyAlignment="1">
      <alignment horizontal="center" vertical="top" wrapText="1"/>
      <protection/>
    </xf>
    <xf numFmtId="0" fontId="5" fillId="0" borderId="12" xfId="61" applyNumberFormat="1" applyFont="1" applyFill="1" applyBorder="1" applyAlignment="1">
      <alignment horizontal="center" vertical="center" wrapText="1"/>
      <protection/>
    </xf>
    <xf numFmtId="0" fontId="6" fillId="0" borderId="13" xfId="61" applyFont="1" applyFill="1" applyBorder="1" applyAlignment="1">
      <alignment horizontal="center" vertical="center" wrapText="1"/>
      <protection/>
    </xf>
    <xf numFmtId="49" fontId="17" fillId="32" borderId="0" xfId="0" applyNumberFormat="1" applyFont="1" applyFill="1" applyBorder="1" applyAlignment="1">
      <alignment horizontal="center" vertical="center" wrapText="1"/>
    </xf>
    <xf numFmtId="49" fontId="30" fillId="0" borderId="0" xfId="0" applyNumberFormat="1" applyFont="1" applyFill="1" applyAlignment="1">
      <alignment horizontal="center" wrapText="1"/>
    </xf>
    <xf numFmtId="49" fontId="33" fillId="0" borderId="0" xfId="61" applyNumberFormat="1" applyFont="1" applyFill="1" applyBorder="1" applyAlignment="1">
      <alignment horizontal="center" vertical="center" wrapText="1"/>
      <protection/>
    </xf>
    <xf numFmtId="49" fontId="30" fillId="0" borderId="0" xfId="61" applyNumberFormat="1" applyFont="1" applyFill="1" applyBorder="1" applyAlignment="1">
      <alignment horizontal="center" vertical="center" wrapText="1"/>
      <protection/>
    </xf>
    <xf numFmtId="2" fontId="5" fillId="0" borderId="10" xfId="61" applyNumberFormat="1" applyFont="1" applyFill="1" applyBorder="1" applyAlignment="1">
      <alignment horizontal="center" vertical="center" wrapText="1"/>
      <protection/>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8" fillId="0" borderId="0" xfId="0" applyFont="1" applyFill="1" applyBorder="1" applyAlignment="1">
      <alignment horizontal="right" vertical="top"/>
    </xf>
    <xf numFmtId="0" fontId="0" fillId="32" borderId="0" xfId="0" applyFont="1" applyFill="1" applyBorder="1" applyAlignment="1">
      <alignment horizontal="center" vertical="center" wrapText="1"/>
    </xf>
    <xf numFmtId="2" fontId="2" fillId="0" borderId="10" xfId="61" applyNumberFormat="1" applyFont="1" applyFill="1" applyBorder="1" applyAlignment="1">
      <alignment horizontal="center" vertical="center" wrapText="1"/>
      <protection/>
    </xf>
    <xf numFmtId="0" fontId="0" fillId="0" borderId="12" xfId="0" applyFill="1" applyBorder="1" applyAlignment="1">
      <alignment horizontal="center" vertical="top" wrapText="1"/>
    </xf>
    <xf numFmtId="0" fontId="0" fillId="0" borderId="19" xfId="0" applyFill="1" applyBorder="1" applyAlignment="1">
      <alignment horizontal="center" vertical="top" wrapText="1"/>
    </xf>
    <xf numFmtId="0" fontId="0" fillId="0" borderId="13" xfId="0" applyFill="1" applyBorder="1" applyAlignment="1">
      <alignment horizontal="center" vertical="top" wrapText="1"/>
    </xf>
    <xf numFmtId="0" fontId="33" fillId="0" borderId="0" xfId="0" applyFont="1" applyFill="1" applyBorder="1" applyAlignment="1">
      <alignment horizontal="center" vertical="top"/>
    </xf>
    <xf numFmtId="0" fontId="0" fillId="0" borderId="12"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3" xfId="0" applyFill="1" applyBorder="1" applyAlignment="1">
      <alignment horizontal="center" vertical="center" wrapText="1"/>
    </xf>
    <xf numFmtId="0" fontId="28" fillId="0" borderId="0" xfId="0" applyFont="1" applyFill="1" applyBorder="1" applyAlignment="1">
      <alignment horizontal="center" vertical="top"/>
    </xf>
    <xf numFmtId="0" fontId="30" fillId="0" borderId="0" xfId="0" applyFont="1" applyFill="1" applyBorder="1" applyAlignment="1">
      <alignment horizontal="center" vertical="top"/>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7" fillId="32" borderId="14" xfId="0" applyFont="1" applyFill="1" applyBorder="1" applyAlignment="1">
      <alignment horizontal="center" vertical="center" wrapText="1"/>
    </xf>
    <xf numFmtId="0" fontId="17" fillId="32" borderId="0" xfId="0" applyFont="1" applyFill="1" applyBorder="1" applyAlignment="1">
      <alignment horizontal="center" vertical="center" wrapText="1"/>
    </xf>
    <xf numFmtId="0" fontId="6" fillId="0" borderId="12" xfId="0" applyFont="1" applyFill="1" applyBorder="1" applyAlignment="1">
      <alignment horizontal="center" vertical="top" wrapText="1"/>
    </xf>
    <xf numFmtId="0" fontId="6" fillId="0" borderId="19" xfId="0" applyFont="1" applyFill="1" applyBorder="1" applyAlignment="1">
      <alignment horizontal="center" vertical="top" wrapText="1"/>
    </xf>
    <xf numFmtId="0" fontId="6" fillId="0" borderId="13" xfId="0" applyFont="1" applyFill="1" applyBorder="1" applyAlignment="1">
      <alignment horizontal="center" vertical="top"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0" xfId="0" applyFill="1" applyAlignment="1">
      <alignment horizontal="left" vertical="center" wrapText="1"/>
    </xf>
    <xf numFmtId="0" fontId="2" fillId="0" borderId="10"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28" fillId="0" borderId="0" xfId="0" applyFont="1" applyFill="1" applyBorder="1" applyAlignment="1">
      <alignment horizontal="left"/>
    </xf>
    <xf numFmtId="0" fontId="0" fillId="32" borderId="0" xfId="0" applyFill="1" applyAlignment="1">
      <alignment horizontal="center"/>
    </xf>
    <xf numFmtId="0" fontId="17" fillId="0" borderId="12"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13" xfId="0" applyFont="1" applyFill="1" applyBorder="1" applyAlignment="1">
      <alignment horizontal="center" vertical="top" wrapText="1"/>
    </xf>
    <xf numFmtId="0" fontId="6" fillId="0" borderId="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5" xfId="0" applyFont="1" applyFill="1" applyBorder="1" applyAlignment="1">
      <alignment horizontal="center" vertical="top" wrapText="1"/>
    </xf>
    <xf numFmtId="0" fontId="5" fillId="0" borderId="17" xfId="0" applyFont="1" applyFill="1" applyBorder="1" applyAlignment="1">
      <alignment horizontal="center" vertical="top" wrapText="1"/>
    </xf>
    <xf numFmtId="0" fontId="17" fillId="0" borderId="12" xfId="0" applyFont="1" applyFill="1" applyBorder="1" applyAlignment="1">
      <alignment horizontal="right" vertical="top"/>
    </xf>
    <xf numFmtId="0" fontId="17" fillId="0" borderId="19" xfId="0" applyFont="1" applyFill="1" applyBorder="1" applyAlignment="1">
      <alignment horizontal="right" vertical="top"/>
    </xf>
    <xf numFmtId="0" fontId="17" fillId="0" borderId="13" xfId="0" applyFont="1" applyFill="1" applyBorder="1" applyAlignment="1">
      <alignment horizontal="right" vertical="top"/>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7" fillId="32" borderId="14" xfId="0" applyFont="1" applyFill="1" applyBorder="1" applyAlignment="1">
      <alignment horizontal="left" vertical="center" wrapText="1"/>
    </xf>
    <xf numFmtId="0" fontId="17" fillId="32" borderId="0"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17" fillId="0" borderId="12" xfId="0" applyFont="1" applyFill="1" applyBorder="1" applyAlignment="1">
      <alignment horizontal="right" vertical="top" wrapText="1"/>
    </xf>
    <xf numFmtId="0" fontId="17" fillId="0" borderId="19" xfId="0" applyFont="1" applyFill="1" applyBorder="1" applyAlignment="1">
      <alignment horizontal="right" vertical="top" wrapText="1"/>
    </xf>
    <xf numFmtId="0" fontId="17" fillId="0" borderId="13" xfId="0" applyFont="1" applyFill="1" applyBorder="1" applyAlignment="1">
      <alignment horizontal="right" vertical="top" wrapText="1"/>
    </xf>
    <xf numFmtId="0" fontId="5" fillId="0" borderId="12" xfId="0" applyFont="1" applyFill="1" applyBorder="1" applyAlignment="1">
      <alignment horizontal="right" vertical="top"/>
    </xf>
    <xf numFmtId="0" fontId="5" fillId="0" borderId="19" xfId="0" applyFont="1" applyFill="1" applyBorder="1" applyAlignment="1">
      <alignment horizontal="right" vertical="top"/>
    </xf>
    <xf numFmtId="0" fontId="5" fillId="0" borderId="13" xfId="0" applyFont="1" applyFill="1" applyBorder="1" applyAlignment="1">
      <alignment horizontal="right" vertical="top"/>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2" xfId="0" applyFont="1" applyFill="1" applyBorder="1" applyAlignment="1">
      <alignment horizontal="center" vertical="top"/>
    </xf>
    <xf numFmtId="0" fontId="5" fillId="0" borderId="19" xfId="0" applyFont="1" applyFill="1" applyBorder="1" applyAlignment="1">
      <alignment horizontal="center" vertical="top"/>
    </xf>
    <xf numFmtId="0" fontId="5" fillId="0" borderId="13" xfId="0" applyFont="1" applyFill="1" applyBorder="1" applyAlignment="1">
      <alignment horizontal="center" vertical="top"/>
    </xf>
    <xf numFmtId="0" fontId="2" fillId="0" borderId="10"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0" fontId="17" fillId="0" borderId="12" xfId="0" applyFont="1" applyFill="1" applyBorder="1" applyAlignment="1">
      <alignment horizontal="right" vertical="center"/>
    </xf>
    <xf numFmtId="0" fontId="17" fillId="0" borderId="19" xfId="0" applyFont="1" applyFill="1" applyBorder="1" applyAlignment="1">
      <alignment horizontal="right" vertical="center"/>
    </xf>
    <xf numFmtId="0" fontId="17" fillId="0" borderId="13" xfId="0" applyFont="1" applyFill="1" applyBorder="1" applyAlignment="1">
      <alignment horizontal="right" vertical="center"/>
    </xf>
    <xf numFmtId="0" fontId="5" fillId="0" borderId="10" xfId="0" applyFont="1" applyFill="1" applyBorder="1" applyAlignment="1">
      <alignment horizontal="right" vertical="top"/>
    </xf>
    <xf numFmtId="0" fontId="0" fillId="0" borderId="0" xfId="0" applyFill="1" applyAlignment="1">
      <alignment horizontal="left" vertical="top" wrapText="1"/>
    </xf>
    <xf numFmtId="0" fontId="22" fillId="0" borderId="12"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3" xfId="0" applyFont="1" applyFill="1" applyBorder="1" applyAlignment="1">
      <alignment horizontal="center" vertical="center"/>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33" fillId="0" borderId="0" xfId="0" applyFont="1" applyFill="1" applyBorder="1" applyAlignment="1">
      <alignment horizontal="right"/>
    </xf>
    <xf numFmtId="0" fontId="33" fillId="0" borderId="0" xfId="0" applyFont="1" applyFill="1" applyBorder="1" applyAlignment="1">
      <alignment horizontal="center"/>
    </xf>
    <xf numFmtId="0" fontId="2" fillId="0" borderId="10" xfId="0" applyNumberFormat="1" applyFont="1" applyFill="1" applyBorder="1" applyAlignment="1">
      <alignment horizontal="center" vertical="center" wrapText="1"/>
    </xf>
    <xf numFmtId="0" fontId="34" fillId="0" borderId="0" xfId="0" applyFont="1" applyFill="1" applyBorder="1" applyAlignment="1">
      <alignment/>
    </xf>
    <xf numFmtId="0" fontId="42" fillId="0" borderId="0" xfId="0" applyFont="1" applyFill="1" applyBorder="1" applyAlignment="1">
      <alignment horizontal="center"/>
    </xf>
    <xf numFmtId="0" fontId="0" fillId="0" borderId="0" xfId="0" applyFill="1" applyBorder="1" applyAlignment="1">
      <alignment horizontal="center"/>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10" xfId="0" applyFont="1" applyFill="1" applyBorder="1" applyAlignment="1">
      <alignment horizontal="center" vertical="center"/>
    </xf>
    <xf numFmtId="0" fontId="1" fillId="0" borderId="15" xfId="0" applyFont="1" applyFill="1" applyBorder="1" applyAlignment="1">
      <alignment horizontal="center" wrapText="1"/>
    </xf>
    <xf numFmtId="0" fontId="1" fillId="0" borderId="17" xfId="0" applyFont="1" applyFill="1" applyBorder="1" applyAlignment="1">
      <alignment horizontal="center" wrapText="1"/>
    </xf>
    <xf numFmtId="0" fontId="0" fillId="0" borderId="12" xfId="0" applyFill="1" applyBorder="1" applyAlignment="1">
      <alignment horizontal="center" vertical="top"/>
    </xf>
    <xf numFmtId="0" fontId="0" fillId="0" borderId="19" xfId="0" applyFill="1" applyBorder="1" applyAlignment="1">
      <alignment horizontal="center" vertical="top"/>
    </xf>
    <xf numFmtId="0" fontId="0" fillId="0" borderId="13" xfId="0" applyFill="1" applyBorder="1" applyAlignment="1">
      <alignment horizontal="center" vertical="top"/>
    </xf>
    <xf numFmtId="0" fontId="0" fillId="0" borderId="10" xfId="0" applyFill="1" applyBorder="1" applyAlignment="1">
      <alignment horizontal="right" vertical="top"/>
    </xf>
    <xf numFmtId="0" fontId="1" fillId="0" borderId="12" xfId="0" applyFont="1" applyFill="1" applyBorder="1" applyAlignment="1">
      <alignment horizontal="center" vertical="top"/>
    </xf>
    <xf numFmtId="0" fontId="1" fillId="0" borderId="19" xfId="0" applyFont="1" applyFill="1" applyBorder="1" applyAlignment="1">
      <alignment horizontal="center" vertical="top"/>
    </xf>
    <xf numFmtId="0" fontId="1" fillId="0" borderId="13" xfId="0" applyFont="1" applyFill="1" applyBorder="1" applyAlignment="1">
      <alignment horizontal="center" vertical="top"/>
    </xf>
    <xf numFmtId="0" fontId="0" fillId="0" borderId="12" xfId="0" applyFont="1" applyFill="1" applyBorder="1" applyAlignment="1">
      <alignment horizontal="right" vertical="top" wrapText="1"/>
    </xf>
    <xf numFmtId="0" fontId="0" fillId="0" borderId="19" xfId="0" applyFont="1" applyFill="1" applyBorder="1" applyAlignment="1">
      <alignment horizontal="right" vertical="top" wrapText="1"/>
    </xf>
    <xf numFmtId="0" fontId="0" fillId="0" borderId="13" xfId="0" applyFont="1" applyFill="1" applyBorder="1" applyAlignment="1">
      <alignment horizontal="right" vertical="top" wrapText="1"/>
    </xf>
    <xf numFmtId="0" fontId="0" fillId="0" borderId="12" xfId="0" applyFill="1" applyBorder="1" applyAlignment="1">
      <alignment horizontal="right" vertical="top"/>
    </xf>
    <xf numFmtId="0" fontId="0" fillId="0" borderId="19" xfId="0" applyFill="1" applyBorder="1" applyAlignment="1">
      <alignment horizontal="right" vertical="top"/>
    </xf>
    <xf numFmtId="0" fontId="0" fillId="0" borderId="13" xfId="0" applyFill="1" applyBorder="1" applyAlignment="1">
      <alignment horizontal="right" vertical="top"/>
    </xf>
    <xf numFmtId="0" fontId="0" fillId="0" borderId="19" xfId="0" applyFill="1" applyBorder="1" applyAlignment="1">
      <alignment horizontal="center"/>
    </xf>
    <xf numFmtId="0" fontId="0" fillId="0" borderId="13" xfId="0" applyFill="1" applyBorder="1" applyAlignment="1">
      <alignment horizontal="center"/>
    </xf>
    <xf numFmtId="0" fontId="0" fillId="0" borderId="19" xfId="0" applyFont="1" applyFill="1" applyBorder="1" applyAlignment="1">
      <alignment horizontal="center" vertical="top"/>
    </xf>
    <xf numFmtId="0" fontId="0" fillId="0" borderId="10" xfId="0" applyFill="1" applyBorder="1" applyAlignment="1">
      <alignment horizontal="left" vertical="top" wrapText="1"/>
    </xf>
    <xf numFmtId="0" fontId="1" fillId="0" borderId="15" xfId="0" applyFont="1" applyFill="1" applyBorder="1" applyAlignment="1">
      <alignment horizontal="center"/>
    </xf>
    <xf numFmtId="0" fontId="1" fillId="0" borderId="17" xfId="0" applyFont="1" applyFill="1" applyBorder="1" applyAlignment="1">
      <alignment horizont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8"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13" xfId="0" applyFont="1" applyFill="1" applyBorder="1" applyAlignment="1">
      <alignment horizontal="center" vertical="top" wrapText="1"/>
    </xf>
    <xf numFmtId="0" fontId="2" fillId="0" borderId="15" xfId="0" applyFont="1" applyFill="1" applyBorder="1" applyAlignment="1">
      <alignment horizontal="left"/>
    </xf>
    <xf numFmtId="0" fontId="2" fillId="0" borderId="17" xfId="0" applyFont="1" applyFill="1" applyBorder="1" applyAlignment="1">
      <alignment horizontal="left"/>
    </xf>
    <xf numFmtId="0" fontId="0" fillId="0" borderId="0" xfId="0" applyFill="1" applyAlignment="1">
      <alignment horizontal="center"/>
    </xf>
    <xf numFmtId="0" fontId="1" fillId="0" borderId="0" xfId="0" applyFont="1" applyFill="1" applyBorder="1" applyAlignment="1">
      <alignment horizontal="left"/>
    </xf>
    <xf numFmtId="0" fontId="1" fillId="0" borderId="13" xfId="0" applyFont="1" applyFill="1" applyBorder="1" applyAlignment="1">
      <alignment horizontal="center" vertical="center"/>
    </xf>
    <xf numFmtId="0" fontId="2" fillId="0" borderId="10" xfId="0" applyFont="1" applyFill="1" applyBorder="1" applyAlignment="1">
      <alignment horizontal="center"/>
    </xf>
    <xf numFmtId="0" fontId="2" fillId="0" borderId="0" xfId="0" applyFont="1" applyFill="1" applyBorder="1" applyAlignment="1">
      <alignment horizontal="center" vertical="top"/>
    </xf>
    <xf numFmtId="0" fontId="17" fillId="0" borderId="12" xfId="0" applyFont="1" applyFill="1" applyBorder="1" applyAlignment="1">
      <alignment horizontal="center" vertical="top"/>
    </xf>
    <xf numFmtId="0" fontId="17" fillId="0" borderId="13" xfId="0" applyFont="1" applyFill="1" applyBorder="1" applyAlignment="1">
      <alignment horizontal="center" vertical="top"/>
    </xf>
    <xf numFmtId="0" fontId="17" fillId="0" borderId="19" xfId="0" applyFont="1" applyFill="1" applyBorder="1" applyAlignment="1">
      <alignment horizontal="center" vertical="top"/>
    </xf>
    <xf numFmtId="0" fontId="17" fillId="0" borderId="12"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5" xfId="0" applyFont="1" applyFill="1" applyBorder="1" applyAlignment="1">
      <alignment horizontal="left" wrapText="1"/>
    </xf>
    <xf numFmtId="0" fontId="17" fillId="0" borderId="16" xfId="0" applyFont="1" applyFill="1" applyBorder="1" applyAlignment="1">
      <alignment horizontal="left" wrapText="1"/>
    </xf>
    <xf numFmtId="0" fontId="17" fillId="0" borderId="17" xfId="0" applyFont="1" applyFill="1" applyBorder="1" applyAlignment="1">
      <alignment horizontal="left" wrapText="1"/>
    </xf>
    <xf numFmtId="0" fontId="30" fillId="0" borderId="0" xfId="0" applyFont="1" applyFill="1" applyBorder="1" applyAlignment="1">
      <alignment horizontal="center"/>
    </xf>
    <xf numFmtId="0" fontId="17" fillId="0" borderId="1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0" fillId="0" borderId="19" xfId="0" applyFill="1" applyBorder="1" applyAlignment="1">
      <alignment horizontal="center" vertical="center"/>
    </xf>
    <xf numFmtId="0" fontId="1" fillId="0" borderId="15" xfId="0" applyFont="1" applyFill="1" applyBorder="1" applyAlignment="1">
      <alignment horizontal="center" vertical="center"/>
    </xf>
    <xf numFmtId="0" fontId="1" fillId="0" borderId="17" xfId="0" applyFont="1" applyFill="1" applyBorder="1" applyAlignment="1">
      <alignment horizontal="center" vertical="center"/>
    </xf>
    <xf numFmtId="0" fontId="17" fillId="0" borderId="0" xfId="0" applyFont="1" applyFill="1" applyBorder="1" applyAlignment="1">
      <alignment horizontal="left" vertical="center" wrapText="1"/>
    </xf>
    <xf numFmtId="0" fontId="11" fillId="0" borderId="0" xfId="0" applyFont="1" applyFill="1" applyBorder="1" applyAlignment="1">
      <alignment horizontal="center"/>
    </xf>
    <xf numFmtId="0" fontId="30" fillId="0" borderId="0" xfId="0" applyFont="1" applyFill="1" applyBorder="1" applyAlignment="1" quotePrefix="1">
      <alignment horizontal="center" vertical="center" wrapText="1"/>
    </xf>
    <xf numFmtId="0" fontId="2" fillId="0" borderId="0" xfId="0" applyFont="1" applyFill="1" applyAlignment="1">
      <alignment horizontal="center"/>
    </xf>
    <xf numFmtId="0" fontId="17" fillId="0" borderId="12"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13"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top"/>
    </xf>
    <xf numFmtId="0" fontId="0" fillId="0" borderId="13" xfId="0" applyFont="1" applyFill="1" applyBorder="1" applyAlignment="1">
      <alignment horizontal="center" vertical="top"/>
    </xf>
    <xf numFmtId="0" fontId="0" fillId="0" borderId="10" xfId="0" applyFont="1" applyFill="1" applyBorder="1" applyAlignment="1">
      <alignment horizontal="left" vertical="top"/>
    </xf>
    <xf numFmtId="0" fontId="6" fillId="0" borderId="0" xfId="0" applyFont="1" applyFill="1" applyBorder="1" applyAlignment="1" quotePrefix="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0" fillId="0" borderId="15" xfId="0" applyFill="1" applyBorder="1" applyAlignment="1">
      <alignment horizontal="left" vertical="top"/>
    </xf>
    <xf numFmtId="0" fontId="0" fillId="0" borderId="17" xfId="0" applyFill="1" applyBorder="1" applyAlignment="1">
      <alignment horizontal="left" vertical="top"/>
    </xf>
    <xf numFmtId="0" fontId="0" fillId="0" borderId="12" xfId="0" applyFont="1" applyFill="1" applyBorder="1" applyAlignment="1" quotePrefix="1">
      <alignment horizontal="center" vertical="top"/>
    </xf>
    <xf numFmtId="0" fontId="0" fillId="0" borderId="19" xfId="0" applyFont="1" applyFill="1" applyBorder="1" applyAlignment="1" quotePrefix="1">
      <alignment horizontal="center" vertical="top"/>
    </xf>
    <xf numFmtId="0" fontId="0" fillId="0" borderId="13" xfId="0" applyFont="1" applyFill="1" applyBorder="1" applyAlignment="1" quotePrefix="1">
      <alignment horizontal="center" vertical="top"/>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0 4" xfId="58"/>
    <cellStyle name="Normal 2" xfId="59"/>
    <cellStyle name="Normal 2 2" xfId="60"/>
    <cellStyle name="Normal 2 2 2 3" xfId="61"/>
    <cellStyle name="Normal 2 2 3" xfId="62"/>
    <cellStyle name="Normal 2 2 3 3" xfId="63"/>
    <cellStyle name="Normal 21" xfId="64"/>
    <cellStyle name="Normal 3" xfId="65"/>
    <cellStyle name="Normal 3 2" xfId="66"/>
    <cellStyle name="Normal 3 4" xfId="67"/>
    <cellStyle name="Normal 3 4 2" xfId="68"/>
    <cellStyle name="Normal 4" xfId="69"/>
    <cellStyle name="Normal 5" xfId="70"/>
    <cellStyle name="Normal 6"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742950</xdr:colOff>
      <xdr:row>303</xdr:row>
      <xdr:rowOff>0</xdr:rowOff>
    </xdr:from>
    <xdr:to>
      <xdr:col>10</xdr:col>
      <xdr:colOff>742950</xdr:colOff>
      <xdr:row>303</xdr:row>
      <xdr:rowOff>0</xdr:rowOff>
    </xdr:to>
    <xdr:sp>
      <xdr:nvSpPr>
        <xdr:cNvPr id="1" name="Line 4"/>
        <xdr:cNvSpPr>
          <a:spLocks/>
        </xdr:cNvSpPr>
      </xdr:nvSpPr>
      <xdr:spPr>
        <a:xfrm>
          <a:off x="10629900" y="102041325"/>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209550</xdr:colOff>
      <xdr:row>20</xdr:row>
      <xdr:rowOff>9525</xdr:rowOff>
    </xdr:from>
    <xdr:to>
      <xdr:col>6</xdr:col>
      <xdr:colOff>0</xdr:colOff>
      <xdr:row>20</xdr:row>
      <xdr:rowOff>238125</xdr:rowOff>
    </xdr:to>
    <xdr:sp>
      <xdr:nvSpPr>
        <xdr:cNvPr id="1" name="Text Box 3"/>
        <xdr:cNvSpPr txBox="1">
          <a:spLocks noChangeArrowheads="1"/>
        </xdr:cNvSpPr>
      </xdr:nvSpPr>
      <xdr:spPr>
        <a:xfrm>
          <a:off x="5295900" y="5334000"/>
          <a:ext cx="123825" cy="228600"/>
        </a:xfrm>
        <a:prstGeom prst="rect">
          <a:avLst/>
        </a:prstGeom>
        <a:noFill/>
        <a:ln w="9525" cmpd="sng">
          <a:noFill/>
        </a:ln>
      </xdr:spPr>
      <xdr:txBody>
        <a:bodyPr vertOverflow="clip" wrap="square" lIns="36576" tIns="0" rIns="0" bIns="0" vert="wordArtVertRtl"/>
        <a:p>
          <a:pPr algn="l">
            <a:defRPr/>
          </a:pPr>
          <a:r>
            <a:rPr lang="en-US" cap="none" sz="1400" b="0" i="0" u="none" baseline="0">
              <a:solidFill>
                <a:srgbClr val="000000"/>
              </a:solidFill>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18</xdr:row>
      <xdr:rowOff>0</xdr:rowOff>
    </xdr:from>
    <xdr:ext cx="76200" cy="200025"/>
    <xdr:sp>
      <xdr:nvSpPr>
        <xdr:cNvPr id="1" name="Text Box 1"/>
        <xdr:cNvSpPr txBox="1">
          <a:spLocks noChangeArrowheads="1"/>
        </xdr:cNvSpPr>
      </xdr:nvSpPr>
      <xdr:spPr>
        <a:xfrm>
          <a:off x="7477125" y="5314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457200</xdr:colOff>
      <xdr:row>99</xdr:row>
      <xdr:rowOff>38100</xdr:rowOff>
    </xdr:from>
    <xdr:to>
      <xdr:col>7</xdr:col>
      <xdr:colOff>704850</xdr:colOff>
      <xdr:row>99</xdr:row>
      <xdr:rowOff>200025</xdr:rowOff>
    </xdr:to>
    <xdr:sp>
      <xdr:nvSpPr>
        <xdr:cNvPr id="1" name="Text Box 2"/>
        <xdr:cNvSpPr txBox="1">
          <a:spLocks noChangeArrowheads="1"/>
        </xdr:cNvSpPr>
      </xdr:nvSpPr>
      <xdr:spPr>
        <a:xfrm>
          <a:off x="6667500" y="20678775"/>
          <a:ext cx="247650" cy="161925"/>
        </a:xfrm>
        <a:prstGeom prst="rect">
          <a:avLst/>
        </a:prstGeom>
        <a:solidFill>
          <a:srgbClr val="FFFFFF"/>
        </a:solidFill>
        <a:ln w="9525" cmpd="sng">
          <a:solidFill>
            <a:srgbClr val="FFFFFF"/>
          </a:solidFill>
          <a:headEnd type="none"/>
          <a:tailEnd type="none"/>
        </a:ln>
      </xdr:spPr>
      <xdr:txBody>
        <a:bodyPr vertOverflow="clip" wrap="square" lIns="36576" tIns="0" rIns="0" bIns="0" vert="wordArtVertRtl"/>
        <a:p>
          <a:pPr algn="l">
            <a:defRPr/>
          </a:pPr>
          <a:r>
            <a:rPr lang="en-US" cap="none" sz="1400" b="0" i="0" u="none" baseline="0">
              <a:solidFill>
                <a:srgbClr val="000000"/>
              </a:solidFill>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60</xdr:row>
      <xdr:rowOff>0</xdr:rowOff>
    </xdr:from>
    <xdr:to>
      <xdr:col>3</xdr:col>
      <xdr:colOff>0</xdr:colOff>
      <xdr:row>60</xdr:row>
      <xdr:rowOff>0</xdr:rowOff>
    </xdr:to>
    <xdr:sp>
      <xdr:nvSpPr>
        <xdr:cNvPr id="1" name="AutoShape 2"/>
        <xdr:cNvSpPr>
          <a:spLocks/>
        </xdr:cNvSpPr>
      </xdr:nvSpPr>
      <xdr:spPr>
        <a:xfrm>
          <a:off x="3676650" y="13877925"/>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2"/>
        <xdr:cNvSpPr>
          <a:spLocks/>
        </xdr:cNvSpPr>
      </xdr:nvSpPr>
      <xdr:spPr>
        <a:xfrm>
          <a:off x="2971800" y="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AutoShape 1"/>
        <xdr:cNvSpPr>
          <a:spLocks/>
        </xdr:cNvSpPr>
      </xdr:nvSpPr>
      <xdr:spPr>
        <a:xfrm>
          <a:off x="3276600" y="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2" name="AutoShape 2"/>
        <xdr:cNvSpPr>
          <a:spLocks/>
        </xdr:cNvSpPr>
      </xdr:nvSpPr>
      <xdr:spPr>
        <a:xfrm>
          <a:off x="3276600" y="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AutoShape 1"/>
        <xdr:cNvSpPr>
          <a:spLocks/>
        </xdr:cNvSpPr>
      </xdr:nvSpPr>
      <xdr:spPr>
        <a:xfrm>
          <a:off x="2686050" y="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 name="AutoShape 2"/>
        <xdr:cNvSpPr>
          <a:spLocks/>
        </xdr:cNvSpPr>
      </xdr:nvSpPr>
      <xdr:spPr>
        <a:xfrm>
          <a:off x="2686050" y="0"/>
          <a:ext cx="0" cy="0"/>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20"/>
  <sheetViews>
    <sheetView zoomScalePageLayoutView="0" workbookViewId="0" topLeftCell="A1">
      <selection activeCell="B5" sqref="B5:C5"/>
    </sheetView>
  </sheetViews>
  <sheetFormatPr defaultColWidth="9.140625" defaultRowHeight="12.75"/>
  <cols>
    <col min="1" max="1" width="6.57421875" style="0" customWidth="1"/>
    <col min="2" max="2" width="4.28125" style="0" bestFit="1" customWidth="1"/>
    <col min="3" max="3" width="54.7109375" style="0" customWidth="1"/>
    <col min="4" max="4" width="15.7109375" style="0" customWidth="1"/>
    <col min="5" max="5" width="10.421875" style="0" bestFit="1" customWidth="1"/>
    <col min="6" max="7" width="13.7109375" style="2" customWidth="1"/>
    <col min="8" max="8" width="11.7109375" style="2" customWidth="1"/>
    <col min="9" max="9" width="8.140625" style="2" customWidth="1"/>
    <col min="10" max="10" width="9.28125" style="2" customWidth="1"/>
    <col min="11" max="11" width="22.421875" style="2" bestFit="1" customWidth="1"/>
    <col min="12" max="12" width="49.140625" style="2" bestFit="1" customWidth="1"/>
    <col min="13" max="13" width="8.00390625" style="0" customWidth="1"/>
    <col min="16" max="16" width="19.8515625" style="0" bestFit="1" customWidth="1"/>
  </cols>
  <sheetData>
    <row r="1" spans="1:13" ht="24" customHeight="1">
      <c r="A1" s="744"/>
      <c r="B1" s="1231" t="s">
        <v>1300</v>
      </c>
      <c r="C1" s="1231"/>
      <c r="D1" s="1231"/>
      <c r="E1" s="1231"/>
      <c r="F1" s="1231"/>
      <c r="G1" s="1231"/>
      <c r="H1" s="699"/>
      <c r="I1" s="699"/>
      <c r="J1" s="699"/>
      <c r="K1" s="699"/>
      <c r="L1" s="699"/>
      <c r="M1" s="745"/>
    </row>
    <row r="2" spans="1:13" ht="14.25" customHeight="1">
      <c r="A2" s="744"/>
      <c r="B2" s="744"/>
      <c r="C2" s="744"/>
      <c r="D2" s="744"/>
      <c r="E2" s="744"/>
      <c r="F2" s="56"/>
      <c r="G2" s="56"/>
      <c r="H2" s="56"/>
      <c r="I2" s="56"/>
      <c r="J2" s="56"/>
      <c r="K2" s="56"/>
      <c r="L2" s="56"/>
      <c r="M2" s="744"/>
    </row>
    <row r="3" spans="1:19" ht="22.5" customHeight="1">
      <c r="A3" s="1233" t="s">
        <v>1947</v>
      </c>
      <c r="B3" s="1248" t="s">
        <v>566</v>
      </c>
      <c r="C3" s="1249"/>
      <c r="D3" s="1233" t="s">
        <v>567</v>
      </c>
      <c r="E3" s="1233" t="s">
        <v>1058</v>
      </c>
      <c r="F3" s="748" t="s">
        <v>1358</v>
      </c>
      <c r="G3" s="748" t="s">
        <v>1153</v>
      </c>
      <c r="H3" s="1238" t="s">
        <v>568</v>
      </c>
      <c r="I3" s="56"/>
      <c r="J3" s="56"/>
      <c r="K3" s="56"/>
      <c r="L3" s="1239"/>
      <c r="M3" s="744"/>
      <c r="S3" s="701"/>
    </row>
    <row r="4" spans="1:19" ht="51" customHeight="1">
      <c r="A4" s="1234"/>
      <c r="B4" s="1250"/>
      <c r="C4" s="1251"/>
      <c r="D4" s="1234"/>
      <c r="E4" s="1234"/>
      <c r="F4" s="748" t="s">
        <v>1301</v>
      </c>
      <c r="G4" s="748" t="s">
        <v>1301</v>
      </c>
      <c r="H4" s="1238"/>
      <c r="I4" s="56"/>
      <c r="J4" s="56"/>
      <c r="K4" s="56"/>
      <c r="L4" s="1239"/>
      <c r="M4" s="744"/>
      <c r="S4" s="701"/>
    </row>
    <row r="5" spans="1:13" ht="16.5">
      <c r="A5" s="750">
        <v>1</v>
      </c>
      <c r="B5" s="1242">
        <v>2</v>
      </c>
      <c r="C5" s="1243"/>
      <c r="D5" s="750">
        <v>3</v>
      </c>
      <c r="E5" s="750">
        <v>4</v>
      </c>
      <c r="F5" s="751">
        <v>5</v>
      </c>
      <c r="G5" s="751">
        <v>6</v>
      </c>
      <c r="H5" s="751">
        <v>7</v>
      </c>
      <c r="I5" s="56"/>
      <c r="J5" s="56"/>
      <c r="K5" s="56"/>
      <c r="L5" s="56"/>
      <c r="M5" s="744"/>
    </row>
    <row r="6" spans="1:13" ht="15.75">
      <c r="A6" s="1240" t="s">
        <v>569</v>
      </c>
      <c r="B6" s="1241"/>
      <c r="C6" s="1241"/>
      <c r="D6" s="752"/>
      <c r="E6" s="753"/>
      <c r="F6" s="249"/>
      <c r="G6" s="249"/>
      <c r="H6" s="252"/>
      <c r="I6" s="56"/>
      <c r="J6" s="56"/>
      <c r="K6" s="56"/>
      <c r="L6" s="56"/>
      <c r="M6" s="744"/>
    </row>
    <row r="7" spans="1:13" ht="36">
      <c r="A7" s="1235" t="s">
        <v>570</v>
      </c>
      <c r="B7" s="755"/>
      <c r="C7" s="756" t="s">
        <v>454</v>
      </c>
      <c r="D7" s="757"/>
      <c r="E7" s="758"/>
      <c r="F7" s="327"/>
      <c r="G7" s="327"/>
      <c r="H7" s="327"/>
      <c r="I7" s="56"/>
      <c r="J7" s="56"/>
      <c r="K7" s="56"/>
      <c r="L7" s="56"/>
      <c r="M7" s="744"/>
    </row>
    <row r="8" spans="1:13" ht="19.5" customHeight="1">
      <c r="A8" s="1236"/>
      <c r="B8" s="759" t="s">
        <v>1048</v>
      </c>
      <c r="C8" s="756" t="s">
        <v>728</v>
      </c>
      <c r="D8" s="759" t="s">
        <v>729</v>
      </c>
      <c r="E8" s="759" t="s">
        <v>1257</v>
      </c>
      <c r="F8" s="760">
        <v>306120</v>
      </c>
      <c r="G8" s="760">
        <v>318910</v>
      </c>
      <c r="H8" s="761">
        <f>(G8-F8)*100/F8</f>
        <v>4.178100091467399</v>
      </c>
      <c r="I8" s="56"/>
      <c r="J8" s="56"/>
      <c r="K8" s="1192"/>
      <c r="L8" s="1192"/>
      <c r="M8" s="744"/>
    </row>
    <row r="9" spans="1:13" ht="36">
      <c r="A9" s="1236"/>
      <c r="B9" s="759" t="s">
        <v>1072</v>
      </c>
      <c r="C9" s="756" t="s">
        <v>1259</v>
      </c>
      <c r="D9" s="759" t="s">
        <v>1258</v>
      </c>
      <c r="E9" s="759" t="s">
        <v>1257</v>
      </c>
      <c r="F9" s="760">
        <v>536088</v>
      </c>
      <c r="G9" s="760">
        <v>557162</v>
      </c>
      <c r="H9" s="761">
        <f>(G9-F9)*100/F9</f>
        <v>3.931071018191043</v>
      </c>
      <c r="I9" s="56"/>
      <c r="J9" s="56"/>
      <c r="K9" s="56"/>
      <c r="L9" s="56"/>
      <c r="M9" s="744"/>
    </row>
    <row r="10" spans="1:13" ht="18">
      <c r="A10" s="1237"/>
      <c r="B10" s="796" t="s">
        <v>1693</v>
      </c>
      <c r="C10" s="756" t="s">
        <v>1302</v>
      </c>
      <c r="D10" s="759" t="s">
        <v>1260</v>
      </c>
      <c r="E10" s="759" t="s">
        <v>1257</v>
      </c>
      <c r="F10" s="760">
        <v>0</v>
      </c>
      <c r="G10" s="760">
        <v>370283</v>
      </c>
      <c r="H10" s="761"/>
      <c r="I10" s="56"/>
      <c r="J10" s="1193"/>
      <c r="K10" s="56"/>
      <c r="L10" s="700"/>
      <c r="M10" s="744"/>
    </row>
    <row r="11" spans="1:13" ht="9.75" customHeight="1">
      <c r="A11" s="759"/>
      <c r="B11" s="762"/>
      <c r="C11" s="743"/>
      <c r="D11" s="763"/>
      <c r="E11" s="743"/>
      <c r="F11" s="764"/>
      <c r="G11" s="764"/>
      <c r="H11" s="761"/>
      <c r="I11" s="56"/>
      <c r="J11" s="56"/>
      <c r="K11" s="56"/>
      <c r="L11" s="56"/>
      <c r="M11" s="744"/>
    </row>
    <row r="12" spans="1:13" ht="36">
      <c r="A12" s="1228" t="s">
        <v>1261</v>
      </c>
      <c r="B12" s="759"/>
      <c r="C12" s="766" t="s">
        <v>467</v>
      </c>
      <c r="D12" s="759" t="s">
        <v>1262</v>
      </c>
      <c r="E12" s="767"/>
      <c r="F12" s="768"/>
      <c r="G12" s="768"/>
      <c r="H12" s="761"/>
      <c r="I12" s="56"/>
      <c r="J12" s="33"/>
      <c r="K12" s="33"/>
      <c r="L12" s="56"/>
      <c r="M12" s="744"/>
    </row>
    <row r="13" spans="1:13" ht="18">
      <c r="A13" s="1229"/>
      <c r="B13" s="759" t="s">
        <v>1048</v>
      </c>
      <c r="C13" s="766" t="s">
        <v>1263</v>
      </c>
      <c r="D13" s="759" t="s">
        <v>1264</v>
      </c>
      <c r="E13" s="759" t="s">
        <v>1130</v>
      </c>
      <c r="F13" s="760">
        <v>272411</v>
      </c>
      <c r="G13" s="760">
        <v>288048</v>
      </c>
      <c r="H13" s="761">
        <f>(G13-F13)*100/F13</f>
        <v>5.740223412417267</v>
      </c>
      <c r="I13" s="56"/>
      <c r="J13" s="33"/>
      <c r="K13" s="33"/>
      <c r="L13" s="56"/>
      <c r="M13" s="744"/>
    </row>
    <row r="14" spans="1:13" ht="18">
      <c r="A14" s="1229"/>
      <c r="B14" s="759" t="s">
        <v>1072</v>
      </c>
      <c r="C14" s="766" t="s">
        <v>1265</v>
      </c>
      <c r="D14" s="759" t="s">
        <v>1266</v>
      </c>
      <c r="E14" s="759" t="s">
        <v>1130</v>
      </c>
      <c r="F14" s="760">
        <v>363478</v>
      </c>
      <c r="G14" s="760">
        <v>373903</v>
      </c>
      <c r="H14" s="761">
        <f>(G14-F14)*100/F14</f>
        <v>2.868124068031628</v>
      </c>
      <c r="I14" s="56"/>
      <c r="J14" s="33"/>
      <c r="K14" s="33"/>
      <c r="L14" s="56"/>
      <c r="M14" s="744"/>
    </row>
    <row r="15" spans="1:13" ht="9.75" customHeight="1">
      <c r="A15" s="759"/>
      <c r="B15" s="770"/>
      <c r="C15" s="771"/>
      <c r="D15" s="772"/>
      <c r="E15" s="771"/>
      <c r="F15" s="773"/>
      <c r="G15" s="773"/>
      <c r="H15" s="761"/>
      <c r="I15" s="56"/>
      <c r="J15" s="56"/>
      <c r="K15" s="56"/>
      <c r="L15" s="56"/>
      <c r="M15" s="744"/>
    </row>
    <row r="16" spans="1:13" ht="36">
      <c r="A16" s="1228" t="s">
        <v>1267</v>
      </c>
      <c r="B16" s="770"/>
      <c r="C16" s="756" t="s">
        <v>455</v>
      </c>
      <c r="D16" s="772"/>
      <c r="E16" s="771"/>
      <c r="F16" s="773"/>
      <c r="G16" s="773"/>
      <c r="H16" s="761"/>
      <c r="I16" s="56"/>
      <c r="J16" s="56"/>
      <c r="K16" s="56"/>
      <c r="L16" s="56"/>
      <c r="M16" s="744"/>
    </row>
    <row r="17" spans="1:13" ht="18">
      <c r="A17" s="1229"/>
      <c r="B17" s="759" t="s">
        <v>1048</v>
      </c>
      <c r="C17" s="756" t="s">
        <v>1268</v>
      </c>
      <c r="D17" s="759" t="s">
        <v>1269</v>
      </c>
      <c r="E17" s="759" t="s">
        <v>1130</v>
      </c>
      <c r="F17" s="760">
        <v>57296</v>
      </c>
      <c r="G17" s="760">
        <v>61904</v>
      </c>
      <c r="H17" s="761">
        <f>(G17-F17)*100/F17</f>
        <v>8.042446244065903</v>
      </c>
      <c r="I17" s="56"/>
      <c r="J17" s="1194"/>
      <c r="K17" s="56"/>
      <c r="L17" s="56"/>
      <c r="M17" s="744"/>
    </row>
    <row r="18" spans="1:13" ht="20.25" customHeight="1">
      <c r="A18" s="1229"/>
      <c r="B18" s="873" t="s">
        <v>1072</v>
      </c>
      <c r="C18" s="874" t="s">
        <v>1271</v>
      </c>
      <c r="D18" s="759" t="s">
        <v>1270</v>
      </c>
      <c r="E18" s="759" t="s">
        <v>1130</v>
      </c>
      <c r="F18" s="760">
        <v>101150</v>
      </c>
      <c r="G18" s="760">
        <v>104589</v>
      </c>
      <c r="H18" s="761">
        <f>(G18-F18)*100/F18</f>
        <v>3.3999011369253584</v>
      </c>
      <c r="I18" s="56"/>
      <c r="J18" s="1175"/>
      <c r="K18" s="56"/>
      <c r="L18" s="56"/>
      <c r="M18" s="744"/>
    </row>
    <row r="19" spans="1:13" ht="18">
      <c r="A19" s="1230"/>
      <c r="B19" s="759" t="s">
        <v>1693</v>
      </c>
      <c r="C19" s="756" t="s">
        <v>1302</v>
      </c>
      <c r="D19" s="759" t="s">
        <v>1272</v>
      </c>
      <c r="E19" s="759" t="s">
        <v>1130</v>
      </c>
      <c r="F19" s="760">
        <v>0</v>
      </c>
      <c r="G19" s="760">
        <v>67396</v>
      </c>
      <c r="H19" s="761"/>
      <c r="I19" s="56"/>
      <c r="J19" s="1175"/>
      <c r="K19" s="56"/>
      <c r="L19" s="700"/>
      <c r="M19" s="744"/>
    </row>
    <row r="20" spans="1:13" ht="9.75" customHeight="1">
      <c r="A20" s="759"/>
      <c r="B20" s="755"/>
      <c r="C20" s="758"/>
      <c r="D20" s="757"/>
      <c r="E20" s="758"/>
      <c r="F20" s="775"/>
      <c r="G20" s="775"/>
      <c r="H20" s="761"/>
      <c r="I20" s="56"/>
      <c r="J20" s="155"/>
      <c r="K20" s="56"/>
      <c r="L20" s="56"/>
      <c r="M20" s="744"/>
    </row>
    <row r="21" spans="1:13" ht="36">
      <c r="A21" s="1228" t="s">
        <v>1273</v>
      </c>
      <c r="B21" s="756"/>
      <c r="C21" s="756" t="s">
        <v>456</v>
      </c>
      <c r="D21" s="757"/>
      <c r="E21" s="758"/>
      <c r="F21" s="775"/>
      <c r="G21" s="775"/>
      <c r="H21" s="761"/>
      <c r="I21" s="56"/>
      <c r="J21" s="155"/>
      <c r="K21" s="56"/>
      <c r="L21" s="56"/>
      <c r="M21" s="744"/>
    </row>
    <row r="22" spans="1:13" ht="20.25" customHeight="1">
      <c r="A22" s="1229"/>
      <c r="B22" s="759" t="s">
        <v>1048</v>
      </c>
      <c r="C22" s="756" t="s">
        <v>1514</v>
      </c>
      <c r="D22" s="759" t="s">
        <v>1515</v>
      </c>
      <c r="E22" s="759" t="s">
        <v>1257</v>
      </c>
      <c r="F22" s="760">
        <v>357246</v>
      </c>
      <c r="G22" s="760">
        <v>375986</v>
      </c>
      <c r="H22" s="761">
        <f>(G22-F22)*100/F22</f>
        <v>5.24568504615867</v>
      </c>
      <c r="I22" s="56"/>
      <c r="J22" s="1175"/>
      <c r="K22" s="56"/>
      <c r="L22" s="56"/>
      <c r="M22" s="744"/>
    </row>
    <row r="23" spans="1:13" ht="36.75" customHeight="1">
      <c r="A23" s="1229"/>
      <c r="B23" s="759" t="s">
        <v>1072</v>
      </c>
      <c r="C23" s="756" t="s">
        <v>1517</v>
      </c>
      <c r="D23" s="759" t="s">
        <v>1516</v>
      </c>
      <c r="E23" s="759" t="s">
        <v>1257</v>
      </c>
      <c r="F23" s="760">
        <v>600081</v>
      </c>
      <c r="G23" s="760">
        <v>611998</v>
      </c>
      <c r="H23" s="761">
        <f>(G23-F23)*100/F23</f>
        <v>1.985898570359668</v>
      </c>
      <c r="I23" s="56"/>
      <c r="J23" s="1175"/>
      <c r="K23" s="56"/>
      <c r="L23" s="56"/>
      <c r="M23" s="744"/>
    </row>
    <row r="24" spans="1:13" ht="21.75" customHeight="1">
      <c r="A24" s="1230"/>
      <c r="B24" s="759" t="s">
        <v>1693</v>
      </c>
      <c r="C24" s="756" t="s">
        <v>1302</v>
      </c>
      <c r="D24" s="759" t="s">
        <v>1518</v>
      </c>
      <c r="E24" s="759" t="s">
        <v>1130</v>
      </c>
      <c r="F24" s="760">
        <v>0</v>
      </c>
      <c r="G24" s="760">
        <v>425051</v>
      </c>
      <c r="H24" s="761"/>
      <c r="I24" s="56"/>
      <c r="J24" s="1175"/>
      <c r="K24" s="56"/>
      <c r="L24" s="700"/>
      <c r="M24" s="744"/>
    </row>
    <row r="25" spans="1:13" ht="9.75" customHeight="1">
      <c r="A25" s="759"/>
      <c r="B25" s="776"/>
      <c r="C25" s="777"/>
      <c r="D25" s="778"/>
      <c r="E25" s="777"/>
      <c r="F25" s="779"/>
      <c r="G25" s="779"/>
      <c r="H25" s="761"/>
      <c r="I25" s="56"/>
      <c r="J25" s="155"/>
      <c r="K25" s="56"/>
      <c r="L25" s="56"/>
      <c r="M25" s="744"/>
    </row>
    <row r="26" spans="1:13" ht="37.5" customHeight="1">
      <c r="A26" s="774" t="s">
        <v>1519</v>
      </c>
      <c r="B26" s="780"/>
      <c r="C26" s="756" t="s">
        <v>1738</v>
      </c>
      <c r="D26" s="759" t="s">
        <v>1739</v>
      </c>
      <c r="E26" s="759" t="s">
        <v>1257</v>
      </c>
      <c r="F26" s="760">
        <v>235703</v>
      </c>
      <c r="G26" s="760">
        <v>251645</v>
      </c>
      <c r="H26" s="761">
        <f>(G26-F26)*100/F26</f>
        <v>6.763596560077725</v>
      </c>
      <c r="I26" s="56"/>
      <c r="J26" s="1175"/>
      <c r="K26" s="56"/>
      <c r="L26" s="94"/>
      <c r="M26" s="744"/>
    </row>
    <row r="27" spans="1:13" ht="9.75" customHeight="1">
      <c r="A27" s="759"/>
      <c r="B27" s="776"/>
      <c r="C27" s="777"/>
      <c r="D27" s="778"/>
      <c r="E27" s="777"/>
      <c r="F27" s="779"/>
      <c r="G27" s="779"/>
      <c r="H27" s="761"/>
      <c r="I27" s="56"/>
      <c r="J27" s="56"/>
      <c r="K27" s="56"/>
      <c r="L27" s="56"/>
      <c r="M27" s="744"/>
    </row>
    <row r="28" spans="1:13" ht="18">
      <c r="A28" s="1228" t="s">
        <v>1740</v>
      </c>
      <c r="B28" s="780"/>
      <c r="C28" s="756" t="s">
        <v>1303</v>
      </c>
      <c r="D28" s="759" t="s">
        <v>1741</v>
      </c>
      <c r="E28" s="759"/>
      <c r="F28" s="760"/>
      <c r="G28" s="760"/>
      <c r="H28" s="761"/>
      <c r="I28" s="56"/>
      <c r="J28" s="56"/>
      <c r="K28" s="56"/>
      <c r="L28" s="56"/>
      <c r="M28" s="744"/>
    </row>
    <row r="29" spans="1:13" ht="37.5" customHeight="1">
      <c r="A29" s="1230"/>
      <c r="B29" s="759" t="s">
        <v>1048</v>
      </c>
      <c r="C29" s="756" t="s">
        <v>1517</v>
      </c>
      <c r="D29" s="759" t="s">
        <v>1304</v>
      </c>
      <c r="E29" s="759" t="s">
        <v>1742</v>
      </c>
      <c r="F29" s="760">
        <v>35717</v>
      </c>
      <c r="G29" s="760">
        <v>35554</v>
      </c>
      <c r="H29" s="761">
        <f>(G29-F29)*100/F29</f>
        <v>-0.45636531623596605</v>
      </c>
      <c r="I29" s="56"/>
      <c r="J29" s="56"/>
      <c r="K29" s="56"/>
      <c r="L29" s="56"/>
      <c r="M29" s="744"/>
    </row>
    <row r="30" spans="1:13" ht="9.75" customHeight="1">
      <c r="A30" s="774"/>
      <c r="B30" s="781"/>
      <c r="C30" s="782"/>
      <c r="D30" s="746"/>
      <c r="E30" s="746"/>
      <c r="F30" s="783"/>
      <c r="G30" s="783"/>
      <c r="H30" s="761"/>
      <c r="I30" s="56"/>
      <c r="J30" s="56"/>
      <c r="K30" s="56"/>
      <c r="L30" s="56"/>
      <c r="M30" s="744"/>
    </row>
    <row r="31" spans="1:13" ht="55.5" customHeight="1">
      <c r="A31" s="1228" t="s">
        <v>1743</v>
      </c>
      <c r="B31" s="781"/>
      <c r="C31" s="782" t="s">
        <v>457</v>
      </c>
      <c r="D31" s="746" t="s">
        <v>381</v>
      </c>
      <c r="E31" s="746"/>
      <c r="F31" s="783"/>
      <c r="G31" s="783"/>
      <c r="H31" s="761"/>
      <c r="I31" s="56"/>
      <c r="J31" s="56"/>
      <c r="K31" s="56"/>
      <c r="L31" s="56"/>
      <c r="M31" s="744"/>
    </row>
    <row r="32" spans="1:13" ht="37.5" customHeight="1">
      <c r="A32" s="1230"/>
      <c r="B32" s="759" t="s">
        <v>1048</v>
      </c>
      <c r="C32" s="756" t="s">
        <v>1517</v>
      </c>
      <c r="D32" s="746" t="s">
        <v>1305</v>
      </c>
      <c r="E32" s="746" t="s">
        <v>1257</v>
      </c>
      <c r="F32" s="783">
        <v>1638014</v>
      </c>
      <c r="G32" s="878">
        <v>1721183</v>
      </c>
      <c r="H32" s="761">
        <f>(G32-F32)*100/F32</f>
        <v>5.077429130642351</v>
      </c>
      <c r="I32" s="56"/>
      <c r="J32" s="56"/>
      <c r="K32" s="56"/>
      <c r="L32" s="56"/>
      <c r="M32" s="744"/>
    </row>
    <row r="33" spans="1:13" ht="9.75" customHeight="1">
      <c r="A33" s="759"/>
      <c r="B33" s="784"/>
      <c r="C33" s="785"/>
      <c r="D33" s="786"/>
      <c r="E33" s="785"/>
      <c r="F33" s="787"/>
      <c r="G33" s="787"/>
      <c r="H33" s="761"/>
      <c r="I33" s="56"/>
      <c r="J33" s="56"/>
      <c r="K33" s="56"/>
      <c r="L33" s="56"/>
      <c r="M33" s="744"/>
    </row>
    <row r="34" spans="1:13" ht="37.5" customHeight="1">
      <c r="A34" s="1228" t="s">
        <v>382</v>
      </c>
      <c r="B34" s="780"/>
      <c r="C34" s="756" t="s">
        <v>458</v>
      </c>
      <c r="D34" s="759" t="s">
        <v>383</v>
      </c>
      <c r="F34" s="760"/>
      <c r="G34" s="760"/>
      <c r="H34" s="761"/>
      <c r="I34" s="56"/>
      <c r="J34" s="56"/>
      <c r="K34" s="56"/>
      <c r="L34" s="56"/>
      <c r="M34" s="744"/>
    </row>
    <row r="35" spans="1:13" ht="39" customHeight="1">
      <c r="A35" s="1230"/>
      <c r="B35" s="759" t="s">
        <v>1048</v>
      </c>
      <c r="C35" s="756" t="s">
        <v>1517</v>
      </c>
      <c r="D35" s="759" t="s">
        <v>809</v>
      </c>
      <c r="E35" s="759" t="s">
        <v>1130</v>
      </c>
      <c r="F35" s="760">
        <v>164187</v>
      </c>
      <c r="G35" s="760">
        <v>120212</v>
      </c>
      <c r="H35" s="761">
        <f>(G35-F35)*100/F35</f>
        <v>-26.783484685145595</v>
      </c>
      <c r="I35" s="56"/>
      <c r="J35" s="56"/>
      <c r="K35" s="56"/>
      <c r="L35" s="56"/>
      <c r="M35" s="744"/>
    </row>
    <row r="36" spans="1:13" ht="9.75" customHeight="1">
      <c r="A36" s="769"/>
      <c r="B36" s="788"/>
      <c r="C36" s="758"/>
      <c r="D36" s="789"/>
      <c r="E36" s="789"/>
      <c r="F36" s="790"/>
      <c r="G36" s="790"/>
      <c r="H36" s="791"/>
      <c r="I36" s="56"/>
      <c r="J36" s="56"/>
      <c r="K36" s="56"/>
      <c r="L36" s="56"/>
      <c r="M36" s="744"/>
    </row>
    <row r="37" spans="1:13" ht="57" customHeight="1">
      <c r="A37" s="1232" t="s">
        <v>384</v>
      </c>
      <c r="B37" s="784"/>
      <c r="C37" s="756" t="s">
        <v>385</v>
      </c>
      <c r="D37" s="759" t="s">
        <v>386</v>
      </c>
      <c r="E37" s="759" t="s">
        <v>387</v>
      </c>
      <c r="F37" s="792"/>
      <c r="G37" s="792"/>
      <c r="H37" s="761"/>
      <c r="I37" s="56"/>
      <c r="J37" s="56"/>
      <c r="K37" s="56"/>
      <c r="L37" s="56"/>
      <c r="M37" s="744"/>
    </row>
    <row r="38" spans="1:13" ht="18.75" customHeight="1">
      <c r="A38" s="1232"/>
      <c r="B38" s="749" t="s">
        <v>1048</v>
      </c>
      <c r="C38" s="756" t="s">
        <v>388</v>
      </c>
      <c r="D38" s="759" t="s">
        <v>389</v>
      </c>
      <c r="E38" s="759" t="s">
        <v>387</v>
      </c>
      <c r="F38" s="760">
        <v>1992699</v>
      </c>
      <c r="G38" s="760">
        <v>2103398</v>
      </c>
      <c r="H38" s="761">
        <f>(G38-F38)*100/F38</f>
        <v>5.555229364796189</v>
      </c>
      <c r="I38" s="56"/>
      <c r="J38" s="795"/>
      <c r="K38" s="793"/>
      <c r="L38" s="794"/>
      <c r="M38" s="795"/>
    </row>
    <row r="39" spans="1:13" ht="20.25" customHeight="1">
      <c r="A39" s="1232"/>
      <c r="B39" s="796" t="s">
        <v>1072</v>
      </c>
      <c r="C39" s="756" t="s">
        <v>390</v>
      </c>
      <c r="D39" s="759" t="s">
        <v>391</v>
      </c>
      <c r="E39" s="759" t="s">
        <v>387</v>
      </c>
      <c r="F39" s="760">
        <v>2081314</v>
      </c>
      <c r="G39" s="760">
        <v>2195764</v>
      </c>
      <c r="H39" s="761">
        <f>(G39-F39)*100/F39</f>
        <v>5.498930002873185</v>
      </c>
      <c r="I39" s="56"/>
      <c r="J39" s="795"/>
      <c r="K39" s="700"/>
      <c r="L39" s="797"/>
      <c r="M39" s="795"/>
    </row>
    <row r="40" spans="1:13" ht="10.5" customHeight="1">
      <c r="A40" s="759"/>
      <c r="B40" s="798"/>
      <c r="C40" s="799"/>
      <c r="D40" s="800"/>
      <c r="E40" s="801"/>
      <c r="F40" s="802"/>
      <c r="G40" s="802"/>
      <c r="H40" s="761"/>
      <c r="I40" s="56"/>
      <c r="J40" s="56"/>
      <c r="K40" s="699"/>
      <c r="L40" s="1195"/>
      <c r="M40" s="744"/>
    </row>
    <row r="41" spans="1:13" ht="57.75" customHeight="1">
      <c r="A41" s="774" t="s">
        <v>392</v>
      </c>
      <c r="B41" s="780"/>
      <c r="C41" s="756" t="s">
        <v>393</v>
      </c>
      <c r="D41" s="759" t="s">
        <v>394</v>
      </c>
      <c r="E41" s="759" t="s">
        <v>395</v>
      </c>
      <c r="F41" s="760">
        <v>597999</v>
      </c>
      <c r="G41" s="760">
        <v>622517</v>
      </c>
      <c r="H41" s="761">
        <f>(G41-F41)*100/F41</f>
        <v>4.100006856198756</v>
      </c>
      <c r="I41" s="56"/>
      <c r="J41" s="56"/>
      <c r="K41" s="699"/>
      <c r="L41" s="794"/>
      <c r="M41" s="744"/>
    </row>
    <row r="42" spans="1:13" ht="21.75" customHeight="1">
      <c r="A42" s="1232" t="s">
        <v>396</v>
      </c>
      <c r="B42" s="780"/>
      <c r="C42" s="756" t="s">
        <v>397</v>
      </c>
      <c r="D42" s="759"/>
      <c r="E42" s="799"/>
      <c r="F42" s="802"/>
      <c r="G42" s="802"/>
      <c r="H42" s="761"/>
      <c r="I42" s="56"/>
      <c r="J42" s="56"/>
      <c r="K42" s="699"/>
      <c r="L42" s="56"/>
      <c r="M42" s="744"/>
    </row>
    <row r="43" spans="1:13" ht="36">
      <c r="A43" s="1232"/>
      <c r="B43" s="759"/>
      <c r="C43" s="756" t="s">
        <v>1306</v>
      </c>
      <c r="D43" s="759" t="s">
        <v>398</v>
      </c>
      <c r="E43" s="759"/>
      <c r="F43" s="760"/>
      <c r="G43" s="760"/>
      <c r="H43" s="761"/>
      <c r="I43" s="56"/>
      <c r="J43" s="56"/>
      <c r="K43" s="56"/>
      <c r="L43" s="56"/>
      <c r="M43" s="744"/>
    </row>
    <row r="44" spans="1:13" ht="18">
      <c r="A44" s="1232"/>
      <c r="B44" s="759" t="s">
        <v>1048</v>
      </c>
      <c r="C44" s="756" t="s">
        <v>399</v>
      </c>
      <c r="D44" s="759" t="s">
        <v>400</v>
      </c>
      <c r="E44" s="759" t="s">
        <v>395</v>
      </c>
      <c r="F44" s="760">
        <v>189600</v>
      </c>
      <c r="G44" s="760">
        <v>193119</v>
      </c>
      <c r="H44" s="761">
        <f>(G44-F44)*100/F44</f>
        <v>1.856012658227848</v>
      </c>
      <c r="I44" s="56"/>
      <c r="J44" s="56"/>
      <c r="K44" s="56"/>
      <c r="L44" s="56"/>
      <c r="M44" s="744"/>
    </row>
    <row r="45" spans="1:13" ht="18">
      <c r="A45" s="1232"/>
      <c r="B45" s="759" t="s">
        <v>1072</v>
      </c>
      <c r="C45" s="756" t="s">
        <v>401</v>
      </c>
      <c r="D45" s="759" t="s">
        <v>402</v>
      </c>
      <c r="E45" s="759" t="s">
        <v>395</v>
      </c>
      <c r="F45" s="760">
        <v>212258</v>
      </c>
      <c r="G45" s="760">
        <v>215997</v>
      </c>
      <c r="H45" s="761">
        <f>(G45-F45)*100/F45</f>
        <v>1.7615354898284163</v>
      </c>
      <c r="I45" s="56"/>
      <c r="J45" s="56"/>
      <c r="K45" s="56"/>
      <c r="L45" s="56"/>
      <c r="M45" s="744"/>
    </row>
    <row r="46" spans="1:13" ht="9.75" customHeight="1">
      <c r="A46" s="755"/>
      <c r="B46" s="767"/>
      <c r="C46" s="803"/>
      <c r="D46" s="804"/>
      <c r="E46" s="803"/>
      <c r="F46" s="768"/>
      <c r="G46" s="768"/>
      <c r="H46" s="761"/>
      <c r="I46" s="56"/>
      <c r="J46" s="56"/>
      <c r="K46" s="56"/>
      <c r="L46" s="56"/>
      <c r="M46" s="744"/>
    </row>
    <row r="47" spans="1:13" ht="36">
      <c r="A47" s="1232" t="s">
        <v>403</v>
      </c>
      <c r="B47" s="770"/>
      <c r="C47" s="756" t="s">
        <v>459</v>
      </c>
      <c r="D47" s="772"/>
      <c r="E47" s="771"/>
      <c r="F47" s="768"/>
      <c r="G47" s="768"/>
      <c r="H47" s="761"/>
      <c r="I47" s="56"/>
      <c r="J47" s="56"/>
      <c r="L47" s="56"/>
      <c r="M47" s="744"/>
    </row>
    <row r="48" spans="1:13" ht="18">
      <c r="A48" s="1232"/>
      <c r="B48" s="759" t="s">
        <v>1048</v>
      </c>
      <c r="C48" s="756" t="s">
        <v>1268</v>
      </c>
      <c r="D48" s="759" t="s">
        <v>404</v>
      </c>
      <c r="E48" s="759" t="s">
        <v>1130</v>
      </c>
      <c r="F48" s="805">
        <v>82183</v>
      </c>
      <c r="G48" s="760">
        <v>87526</v>
      </c>
      <c r="H48" s="761">
        <f>(G48-F48)*100/F48</f>
        <v>6.501344560310526</v>
      </c>
      <c r="I48" s="56"/>
      <c r="J48" s="56"/>
      <c r="K48" s="699"/>
      <c r="L48" s="56"/>
      <c r="M48" s="744"/>
    </row>
    <row r="49" spans="1:13" ht="21.75" customHeight="1">
      <c r="A49" s="1232"/>
      <c r="B49" s="759" t="s">
        <v>1072</v>
      </c>
      <c r="C49" s="756" t="s">
        <v>1271</v>
      </c>
      <c r="D49" s="759" t="s">
        <v>405</v>
      </c>
      <c r="E49" s="759" t="s">
        <v>1130</v>
      </c>
      <c r="F49" s="760">
        <v>120230</v>
      </c>
      <c r="G49" s="760">
        <v>124266</v>
      </c>
      <c r="H49" s="761">
        <f>(G49-F49)*100/F49</f>
        <v>3.356899276386925</v>
      </c>
      <c r="I49" s="56"/>
      <c r="J49" s="56"/>
      <c r="K49" s="699"/>
      <c r="L49" s="56"/>
      <c r="M49" s="744"/>
    </row>
    <row r="50" spans="1:13" ht="9.75" customHeight="1">
      <c r="A50" s="755"/>
      <c r="B50" s="806"/>
      <c r="C50" s="803"/>
      <c r="D50" s="806"/>
      <c r="E50" s="806"/>
      <c r="F50" s="768"/>
      <c r="G50" s="768"/>
      <c r="H50" s="761"/>
      <c r="I50" s="56"/>
      <c r="J50" s="56"/>
      <c r="K50" s="56"/>
      <c r="L50" s="56"/>
      <c r="M50" s="744"/>
    </row>
    <row r="51" spans="1:13" ht="36">
      <c r="A51" s="1232" t="s">
        <v>1803</v>
      </c>
      <c r="B51" s="806"/>
      <c r="C51" s="803" t="s">
        <v>1131</v>
      </c>
      <c r="D51" s="806"/>
      <c r="E51" s="806"/>
      <c r="F51" s="768"/>
      <c r="G51" s="768"/>
      <c r="H51" s="761"/>
      <c r="I51" s="56"/>
      <c r="J51" s="56"/>
      <c r="K51" s="56"/>
      <c r="L51" s="56"/>
      <c r="M51" s="744"/>
    </row>
    <row r="52" spans="1:13" ht="18">
      <c r="A52" s="1232"/>
      <c r="B52" s="759" t="s">
        <v>1048</v>
      </c>
      <c r="C52" s="803" t="s">
        <v>1132</v>
      </c>
      <c r="D52" s="759" t="s">
        <v>1134</v>
      </c>
      <c r="E52" s="759" t="s">
        <v>395</v>
      </c>
      <c r="F52" s="760">
        <v>0</v>
      </c>
      <c r="G52" s="760">
        <v>135248</v>
      </c>
      <c r="H52" s="761"/>
      <c r="I52" s="56"/>
      <c r="J52" s="56"/>
      <c r="K52" s="56"/>
      <c r="L52" s="56"/>
      <c r="M52" s="744"/>
    </row>
    <row r="53" spans="1:13" ht="18">
      <c r="A53" s="1232"/>
      <c r="B53" s="759" t="s">
        <v>1072</v>
      </c>
      <c r="C53" s="803" t="s">
        <v>1133</v>
      </c>
      <c r="D53" s="759" t="s">
        <v>1135</v>
      </c>
      <c r="E53" s="759" t="s">
        <v>395</v>
      </c>
      <c r="F53" s="760">
        <v>0</v>
      </c>
      <c r="G53" s="760">
        <v>140303</v>
      </c>
      <c r="H53" s="761"/>
      <c r="I53" s="56"/>
      <c r="J53" s="56"/>
      <c r="K53" s="56"/>
      <c r="L53" s="56"/>
      <c r="M53" s="744"/>
    </row>
    <row r="54" spans="1:13" ht="9.75" customHeight="1">
      <c r="A54" s="755"/>
      <c r="B54" s="806"/>
      <c r="C54" s="803"/>
      <c r="D54" s="806"/>
      <c r="E54" s="806"/>
      <c r="F54" s="768"/>
      <c r="G54" s="768"/>
      <c r="H54" s="761"/>
      <c r="I54" s="56"/>
      <c r="J54" s="56"/>
      <c r="K54" s="56"/>
      <c r="L54" s="56"/>
      <c r="M54" s="744"/>
    </row>
    <row r="55" spans="1:13" ht="18">
      <c r="A55" s="1244" t="s">
        <v>406</v>
      </c>
      <c r="B55" s="1245"/>
      <c r="C55" s="1245"/>
      <c r="D55" s="752"/>
      <c r="E55" s="807"/>
      <c r="F55" s="802"/>
      <c r="G55" s="802"/>
      <c r="H55" s="761"/>
      <c r="I55" s="56"/>
      <c r="J55" s="56"/>
      <c r="K55" s="56"/>
      <c r="L55" s="56"/>
      <c r="M55" s="744"/>
    </row>
    <row r="56" spans="1:13" ht="9.75" customHeight="1">
      <c r="A56" s="759"/>
      <c r="B56" s="756"/>
      <c r="C56" s="756"/>
      <c r="D56" s="808"/>
      <c r="E56" s="803"/>
      <c r="F56" s="768"/>
      <c r="G56" s="768"/>
      <c r="H56" s="761"/>
      <c r="I56" s="56"/>
      <c r="J56" s="56"/>
      <c r="K56" s="56"/>
      <c r="L56" s="56"/>
      <c r="M56" s="744"/>
    </row>
    <row r="57" spans="1:13" ht="18">
      <c r="A57" s="1235" t="s">
        <v>570</v>
      </c>
      <c r="B57" s="780"/>
      <c r="C57" s="756" t="s">
        <v>407</v>
      </c>
      <c r="D57" s="808"/>
      <c r="E57" s="803"/>
      <c r="F57" s="768"/>
      <c r="G57" s="768"/>
      <c r="H57" s="761"/>
      <c r="I57" s="56"/>
      <c r="J57" s="56"/>
      <c r="K57" s="56"/>
      <c r="L57" s="56"/>
      <c r="M57" s="744"/>
    </row>
    <row r="58" spans="1:13" ht="11.25" customHeight="1">
      <c r="A58" s="1236"/>
      <c r="B58" s="809"/>
      <c r="C58" s="810"/>
      <c r="D58" s="811"/>
      <c r="E58" s="810"/>
      <c r="F58" s="812"/>
      <c r="G58" s="812"/>
      <c r="H58" s="761"/>
      <c r="I58" s="56"/>
      <c r="J58" s="56"/>
      <c r="K58" s="56"/>
      <c r="L58" s="56"/>
      <c r="M58" s="744"/>
    </row>
    <row r="59" spans="1:13" ht="36">
      <c r="A59" s="1236"/>
      <c r="B59" s="759" t="s">
        <v>1048</v>
      </c>
      <c r="C59" s="756" t="s">
        <v>408</v>
      </c>
      <c r="D59" s="759" t="s">
        <v>409</v>
      </c>
      <c r="E59" s="759" t="s">
        <v>1130</v>
      </c>
      <c r="F59" s="760">
        <v>6634021</v>
      </c>
      <c r="G59" s="760">
        <v>6838505</v>
      </c>
      <c r="H59" s="761">
        <f>(G59-F59)*100/F59</f>
        <v>3.082353824324644</v>
      </c>
      <c r="I59" s="56"/>
      <c r="J59" s="56"/>
      <c r="K59" s="56"/>
      <c r="L59" s="56"/>
      <c r="M59" s="744"/>
    </row>
    <row r="60" spans="1:13" ht="11.25" customHeight="1">
      <c r="A60" s="1236"/>
      <c r="B60" s="755"/>
      <c r="C60" s="758"/>
      <c r="D60" s="757"/>
      <c r="E60" s="758"/>
      <c r="F60" s="775"/>
      <c r="G60" s="775"/>
      <c r="H60" s="761"/>
      <c r="I60" s="56"/>
      <c r="J60" s="56"/>
      <c r="K60" s="56"/>
      <c r="L60" s="56"/>
      <c r="M60" s="744"/>
    </row>
    <row r="61" spans="1:13" ht="37.5" customHeight="1">
      <c r="A61" s="1236"/>
      <c r="B61" s="759" t="s">
        <v>1072</v>
      </c>
      <c r="C61" s="756" t="s">
        <v>410</v>
      </c>
      <c r="D61" s="759" t="s">
        <v>411</v>
      </c>
      <c r="E61" s="759" t="s">
        <v>1130</v>
      </c>
      <c r="F61" s="760">
        <v>8549974</v>
      </c>
      <c r="G61" s="760">
        <v>8634577</v>
      </c>
      <c r="H61" s="761">
        <f>(G61-F61)*100/F61</f>
        <v>0.9895117809714977</v>
      </c>
      <c r="I61" s="56"/>
      <c r="J61" s="56"/>
      <c r="K61" s="56"/>
      <c r="L61" s="794"/>
      <c r="M61" s="744"/>
    </row>
    <row r="62" spans="1:13" ht="11.25" customHeight="1">
      <c r="A62" s="1236"/>
      <c r="B62" s="755"/>
      <c r="C62" s="758"/>
      <c r="D62" s="757"/>
      <c r="E62" s="758"/>
      <c r="F62" s="775"/>
      <c r="G62" s="775"/>
      <c r="H62" s="761"/>
      <c r="I62" s="56"/>
      <c r="J62" s="56"/>
      <c r="K62" s="56"/>
      <c r="L62" s="56"/>
      <c r="M62" s="744"/>
    </row>
    <row r="63" spans="1:13" ht="39" customHeight="1">
      <c r="A63" s="1237"/>
      <c r="B63" s="759" t="s">
        <v>1693</v>
      </c>
      <c r="C63" s="756" t="s">
        <v>412</v>
      </c>
      <c r="D63" s="759" t="s">
        <v>413</v>
      </c>
      <c r="E63" s="759" t="s">
        <v>1130</v>
      </c>
      <c r="F63" s="760">
        <v>10084118</v>
      </c>
      <c r="G63" s="760">
        <v>10161052</v>
      </c>
      <c r="H63" s="761">
        <f>(G63-F63)*100/F63</f>
        <v>0.7629224489439731</v>
      </c>
      <c r="I63" s="56"/>
      <c r="J63" s="56"/>
      <c r="K63" s="56"/>
      <c r="L63" s="794"/>
      <c r="M63" s="744"/>
    </row>
    <row r="64" spans="1:13" ht="9.75" customHeight="1">
      <c r="A64" s="813"/>
      <c r="B64" s="814"/>
      <c r="C64" s="815"/>
      <c r="D64" s="816"/>
      <c r="E64" s="815"/>
      <c r="F64" s="817"/>
      <c r="G64" s="817"/>
      <c r="H64" s="761"/>
      <c r="I64" s="847"/>
      <c r="J64" s="847"/>
      <c r="K64" s="847"/>
      <c r="L64" s="847"/>
      <c r="M64" s="818"/>
    </row>
    <row r="65" spans="1:13" ht="18">
      <c r="A65" s="1235" t="s">
        <v>1261</v>
      </c>
      <c r="B65" s="756"/>
      <c r="C65" s="756" t="s">
        <v>611</v>
      </c>
      <c r="D65" s="808"/>
      <c r="E65" s="803"/>
      <c r="F65" s="768"/>
      <c r="G65" s="768"/>
      <c r="H65" s="761"/>
      <c r="I65" s="56"/>
      <c r="J65" s="688"/>
      <c r="K65" s="56"/>
      <c r="L65" s="56"/>
      <c r="M65" s="744"/>
    </row>
    <row r="66" spans="1:13" ht="18">
      <c r="A66" s="1236"/>
      <c r="B66" s="759" t="s">
        <v>1048</v>
      </c>
      <c r="C66" s="756" t="s">
        <v>136</v>
      </c>
      <c r="D66" s="759" t="s">
        <v>612</v>
      </c>
      <c r="E66" s="759" t="s">
        <v>1130</v>
      </c>
      <c r="F66" s="760">
        <v>962479</v>
      </c>
      <c r="G66" s="760">
        <v>965128</v>
      </c>
      <c r="H66" s="761">
        <f>(G66-F66)*100/F66</f>
        <v>0.2752267841687974</v>
      </c>
      <c r="I66" s="56"/>
      <c r="J66" s="56"/>
      <c r="K66" s="56"/>
      <c r="L66" s="56"/>
      <c r="M66" s="744"/>
    </row>
    <row r="67" spans="1:13" ht="20.25" customHeight="1">
      <c r="A67" s="1236"/>
      <c r="B67" s="759" t="s">
        <v>1072</v>
      </c>
      <c r="C67" s="756" t="s">
        <v>137</v>
      </c>
      <c r="D67" s="759" t="s">
        <v>613</v>
      </c>
      <c r="E67" s="759" t="s">
        <v>1130</v>
      </c>
      <c r="F67" s="760">
        <v>2501861</v>
      </c>
      <c r="G67" s="760">
        <v>2367879</v>
      </c>
      <c r="H67" s="761">
        <f>(G67-F67)*100/F67</f>
        <v>-5.355293519504081</v>
      </c>
      <c r="I67" s="56"/>
      <c r="J67" s="56"/>
      <c r="K67" s="56"/>
      <c r="L67" s="794"/>
      <c r="M67" s="744"/>
    </row>
    <row r="68" spans="1:13" ht="19.5" customHeight="1">
      <c r="A68" s="1237"/>
      <c r="B68" s="759" t="s">
        <v>1693</v>
      </c>
      <c r="C68" s="756" t="s">
        <v>138</v>
      </c>
      <c r="D68" s="759" t="s">
        <v>614</v>
      </c>
      <c r="E68" s="759" t="s">
        <v>1130</v>
      </c>
      <c r="F68" s="760">
        <v>3502418</v>
      </c>
      <c r="G68" s="760">
        <v>3359986</v>
      </c>
      <c r="H68" s="761">
        <f>(G68-F68)*100/F68</f>
        <v>-4.066676221970079</v>
      </c>
      <c r="I68" s="56"/>
      <c r="J68" s="56"/>
      <c r="K68" s="56"/>
      <c r="L68" s="794"/>
      <c r="M68" s="744"/>
    </row>
    <row r="69" spans="1:13" ht="9.75" customHeight="1">
      <c r="A69" s="819"/>
      <c r="B69" s="814"/>
      <c r="C69" s="815"/>
      <c r="D69" s="816"/>
      <c r="E69" s="815"/>
      <c r="F69" s="817"/>
      <c r="G69" s="817"/>
      <c r="H69" s="761"/>
      <c r="I69" s="847"/>
      <c r="J69" s="847"/>
      <c r="K69" s="847"/>
      <c r="L69" s="847"/>
      <c r="M69" s="818"/>
    </row>
    <row r="70" spans="1:13" ht="54">
      <c r="A70" s="1228" t="s">
        <v>1267</v>
      </c>
      <c r="B70" s="756"/>
      <c r="C70" s="756" t="s">
        <v>615</v>
      </c>
      <c r="D70" s="808"/>
      <c r="E70" s="803"/>
      <c r="F70" s="768"/>
      <c r="G70" s="768"/>
      <c r="H70" s="761"/>
      <c r="I70" s="56"/>
      <c r="J70" s="56"/>
      <c r="K70" s="56"/>
      <c r="L70" s="56"/>
      <c r="M70" s="744"/>
    </row>
    <row r="71" spans="1:13" ht="18" customHeight="1">
      <c r="A71" s="1236"/>
      <c r="B71" s="749" t="s">
        <v>1048</v>
      </c>
      <c r="C71" s="820" t="s">
        <v>136</v>
      </c>
      <c r="D71" s="749" t="s">
        <v>616</v>
      </c>
      <c r="E71" s="749" t="s">
        <v>1130</v>
      </c>
      <c r="F71" s="821">
        <v>3014649</v>
      </c>
      <c r="G71" s="821">
        <v>3063366</v>
      </c>
      <c r="H71" s="761">
        <f>(G71-F71)*100/F71</f>
        <v>1.6160090279166828</v>
      </c>
      <c r="I71" s="56"/>
      <c r="J71" s="822"/>
      <c r="K71" s="822"/>
      <c r="L71" s="822"/>
      <c r="M71" s="822"/>
    </row>
    <row r="72" spans="1:13" ht="19.5" customHeight="1">
      <c r="A72" s="1236"/>
      <c r="B72" s="759" t="s">
        <v>1072</v>
      </c>
      <c r="C72" s="756" t="s">
        <v>137</v>
      </c>
      <c r="D72" s="759" t="s">
        <v>617</v>
      </c>
      <c r="E72" s="759" t="s">
        <v>1130</v>
      </c>
      <c r="F72" s="760">
        <v>4874559</v>
      </c>
      <c r="G72" s="760">
        <v>4801482</v>
      </c>
      <c r="H72" s="761">
        <f>(G72-F72)*100/F72</f>
        <v>-1.4991510001212418</v>
      </c>
      <c r="I72" s="56"/>
      <c r="J72" s="1176"/>
      <c r="K72" s="822"/>
      <c r="L72" s="794"/>
      <c r="M72" s="822"/>
    </row>
    <row r="73" spans="1:13" ht="18.75" customHeight="1">
      <c r="A73" s="1237"/>
      <c r="B73" s="759" t="s">
        <v>1693</v>
      </c>
      <c r="C73" s="756" t="s">
        <v>138</v>
      </c>
      <c r="D73" s="759" t="s">
        <v>618</v>
      </c>
      <c r="E73" s="759" t="s">
        <v>1130</v>
      </c>
      <c r="F73" s="760">
        <v>5874934</v>
      </c>
      <c r="G73" s="760">
        <v>5793420</v>
      </c>
      <c r="H73" s="761">
        <f>(G73-F73)*100/F73</f>
        <v>-1.3874879275239518</v>
      </c>
      <c r="I73" s="56"/>
      <c r="J73" s="1176"/>
      <c r="K73" s="822"/>
      <c r="L73" s="794"/>
      <c r="M73" s="822"/>
    </row>
    <row r="74" spans="1:13" ht="9.75" customHeight="1">
      <c r="A74" s="813"/>
      <c r="B74" s="823"/>
      <c r="C74" s="824"/>
      <c r="D74" s="825"/>
      <c r="E74" s="824"/>
      <c r="F74" s="826"/>
      <c r="G74" s="826"/>
      <c r="H74" s="761"/>
      <c r="I74" s="847"/>
      <c r="J74" s="847"/>
      <c r="K74" s="847"/>
      <c r="L74" s="847"/>
      <c r="M74" s="818"/>
    </row>
    <row r="75" spans="1:13" ht="36">
      <c r="A75" s="754" t="s">
        <v>1273</v>
      </c>
      <c r="B75" s="782"/>
      <c r="C75" s="782" t="s">
        <v>619</v>
      </c>
      <c r="D75" s="746" t="s">
        <v>620</v>
      </c>
      <c r="E75" s="746" t="s">
        <v>1130</v>
      </c>
      <c r="F75" s="783">
        <v>511754</v>
      </c>
      <c r="G75" s="783">
        <v>515090</v>
      </c>
      <c r="H75" s="761">
        <f>(G75-F75)*100/F75</f>
        <v>0.6518757059055719</v>
      </c>
      <c r="I75" s="56"/>
      <c r="J75" s="56"/>
      <c r="K75" s="56"/>
      <c r="L75" s="56"/>
      <c r="M75" s="744"/>
    </row>
    <row r="76" spans="1:13" ht="9.75" customHeight="1">
      <c r="A76" s="759"/>
      <c r="B76" s="767"/>
      <c r="C76" s="803"/>
      <c r="D76" s="804"/>
      <c r="E76" s="803"/>
      <c r="F76" s="768"/>
      <c r="G76" s="768"/>
      <c r="H76" s="761"/>
      <c r="I76" s="56"/>
      <c r="J76" s="56"/>
      <c r="K76" s="56"/>
      <c r="L76" s="56"/>
      <c r="M76" s="744"/>
    </row>
    <row r="77" spans="1:13" ht="36">
      <c r="A77" s="754" t="s">
        <v>1519</v>
      </c>
      <c r="B77" s="827"/>
      <c r="C77" s="827" t="s">
        <v>621</v>
      </c>
      <c r="D77" s="747" t="s">
        <v>622</v>
      </c>
      <c r="E77" s="747" t="s">
        <v>1130</v>
      </c>
      <c r="F77" s="828">
        <v>220380</v>
      </c>
      <c r="G77" s="828">
        <v>233004</v>
      </c>
      <c r="H77" s="761">
        <f>(G77-F77)*100/F77</f>
        <v>5.728287503403212</v>
      </c>
      <c r="I77" s="56"/>
      <c r="J77" s="56"/>
      <c r="K77" s="56"/>
      <c r="L77" s="56"/>
      <c r="M77" s="744"/>
    </row>
    <row r="78" spans="1:13" ht="9.75" customHeight="1">
      <c r="A78" s="829"/>
      <c r="B78" s="767"/>
      <c r="C78" s="803"/>
      <c r="D78" s="804"/>
      <c r="E78" s="803"/>
      <c r="F78" s="768"/>
      <c r="G78" s="768"/>
      <c r="H78" s="761"/>
      <c r="I78" s="56"/>
      <c r="J78" s="56"/>
      <c r="K78" s="56"/>
      <c r="L78" s="56"/>
      <c r="M78" s="744"/>
    </row>
    <row r="79" spans="1:13" ht="18">
      <c r="A79" s="754" t="s">
        <v>1740</v>
      </c>
      <c r="B79" s="827"/>
      <c r="C79" s="827" t="s">
        <v>2056</v>
      </c>
      <c r="D79" s="747" t="s">
        <v>2057</v>
      </c>
      <c r="E79" s="747" t="s">
        <v>1130</v>
      </c>
      <c r="F79" s="828">
        <v>407147</v>
      </c>
      <c r="G79" s="828">
        <v>420114</v>
      </c>
      <c r="H79" s="761">
        <f>(G79-F79)*100/F79</f>
        <v>3.184844785789899</v>
      </c>
      <c r="I79" s="56"/>
      <c r="J79" s="56"/>
      <c r="K79" s="56"/>
      <c r="L79" s="56"/>
      <c r="M79" s="744"/>
    </row>
    <row r="80" spans="1:13" ht="10.5" customHeight="1">
      <c r="A80" s="829"/>
      <c r="B80" s="767"/>
      <c r="C80" s="803"/>
      <c r="D80" s="804"/>
      <c r="E80" s="803"/>
      <c r="F80" s="768"/>
      <c r="G80" s="768"/>
      <c r="H80" s="761"/>
      <c r="I80" s="56"/>
      <c r="J80" s="56"/>
      <c r="K80" s="56"/>
      <c r="L80" s="56"/>
      <c r="M80" s="744"/>
    </row>
    <row r="81" spans="1:13" ht="42" customHeight="1">
      <c r="A81" s="754" t="s">
        <v>1743</v>
      </c>
      <c r="B81" s="827"/>
      <c r="C81" s="827" t="s">
        <v>2058</v>
      </c>
      <c r="D81" s="747" t="s">
        <v>2059</v>
      </c>
      <c r="E81" s="747" t="s">
        <v>1130</v>
      </c>
      <c r="F81" s="828">
        <v>23249</v>
      </c>
      <c r="G81" s="828">
        <v>23913</v>
      </c>
      <c r="H81" s="761">
        <f>(G81-F81)*100/F81</f>
        <v>2.856036818787905</v>
      </c>
      <c r="I81" s="56"/>
      <c r="J81" s="56"/>
      <c r="K81" s="56"/>
      <c r="L81" s="94"/>
      <c r="M81" s="744"/>
    </row>
    <row r="82" spans="1:13" ht="9.75" customHeight="1">
      <c r="A82" s="829"/>
      <c r="B82" s="767"/>
      <c r="C82" s="803"/>
      <c r="D82" s="804"/>
      <c r="E82" s="803"/>
      <c r="F82" s="768"/>
      <c r="G82" s="768"/>
      <c r="H82" s="761"/>
      <c r="I82" s="56"/>
      <c r="J82" s="56"/>
      <c r="K82" s="56"/>
      <c r="L82" s="56"/>
      <c r="M82" s="744"/>
    </row>
    <row r="83" spans="1:13" ht="18">
      <c r="A83" s="1235" t="s">
        <v>382</v>
      </c>
      <c r="B83" s="756"/>
      <c r="C83" s="756" t="s">
        <v>2060</v>
      </c>
      <c r="D83" s="808"/>
      <c r="E83" s="803"/>
      <c r="F83" s="768"/>
      <c r="G83" s="768"/>
      <c r="H83" s="761"/>
      <c r="I83" s="56"/>
      <c r="J83" s="56"/>
      <c r="K83" s="56"/>
      <c r="L83" s="56"/>
      <c r="M83" s="744"/>
    </row>
    <row r="84" spans="1:13" ht="18">
      <c r="A84" s="1236"/>
      <c r="B84" s="759" t="s">
        <v>1048</v>
      </c>
      <c r="C84" s="756" t="s">
        <v>519</v>
      </c>
      <c r="D84" s="759" t="s">
        <v>2061</v>
      </c>
      <c r="E84" s="759" t="s">
        <v>1130</v>
      </c>
      <c r="F84" s="760">
        <v>3013852</v>
      </c>
      <c r="G84" s="760">
        <v>2891595</v>
      </c>
      <c r="H84" s="761">
        <f>(G84-F84)*100/F84</f>
        <v>-4.056503106323735</v>
      </c>
      <c r="I84" s="56"/>
      <c r="J84" s="56"/>
      <c r="K84" s="56"/>
      <c r="L84" s="794"/>
      <c r="M84" s="744"/>
    </row>
    <row r="85" spans="1:13" ht="18">
      <c r="A85" s="1236"/>
      <c r="B85" s="749" t="s">
        <v>1072</v>
      </c>
      <c r="C85" s="820" t="s">
        <v>520</v>
      </c>
      <c r="D85" s="749" t="s">
        <v>2062</v>
      </c>
      <c r="E85" s="749" t="s">
        <v>1130</v>
      </c>
      <c r="F85" s="821">
        <v>3619193</v>
      </c>
      <c r="G85" s="821">
        <v>3481958</v>
      </c>
      <c r="H85" s="761">
        <f>(G85-F85)*100/F85</f>
        <v>-3.791867413536664</v>
      </c>
      <c r="I85" s="56"/>
      <c r="J85" s="56"/>
      <c r="K85" s="56"/>
      <c r="L85" s="794"/>
      <c r="M85" s="744"/>
    </row>
    <row r="86" spans="1:13" ht="18">
      <c r="A86" s="1237"/>
      <c r="B86" s="759" t="s">
        <v>1693</v>
      </c>
      <c r="C86" s="756" t="s">
        <v>521</v>
      </c>
      <c r="D86" s="759" t="s">
        <v>2063</v>
      </c>
      <c r="E86" s="759" t="s">
        <v>1130</v>
      </c>
      <c r="F86" s="760">
        <v>4066488</v>
      </c>
      <c r="G86" s="760">
        <v>3937967</v>
      </c>
      <c r="H86" s="761">
        <f>(G86-F86)*100/F86</f>
        <v>-3.1604913133888504</v>
      </c>
      <c r="I86" s="56"/>
      <c r="J86" s="56"/>
      <c r="K86" s="56"/>
      <c r="L86" s="794"/>
      <c r="M86" s="744"/>
    </row>
    <row r="87" spans="1:13" ht="9.75" customHeight="1">
      <c r="A87" s="813"/>
      <c r="B87" s="823"/>
      <c r="C87" s="824"/>
      <c r="D87" s="825"/>
      <c r="E87" s="824"/>
      <c r="F87" s="826"/>
      <c r="G87" s="826"/>
      <c r="H87" s="761"/>
      <c r="I87" s="847"/>
      <c r="J87" s="847"/>
      <c r="K87" s="847"/>
      <c r="L87" s="847"/>
      <c r="M87" s="818"/>
    </row>
    <row r="88" spans="1:13" ht="36">
      <c r="A88" s="774" t="s">
        <v>384</v>
      </c>
      <c r="B88" s="782"/>
      <c r="C88" s="782" t="s">
        <v>2064</v>
      </c>
      <c r="D88" s="746" t="s">
        <v>2065</v>
      </c>
      <c r="E88" s="746" t="s">
        <v>1130</v>
      </c>
      <c r="F88" s="783">
        <v>1309512</v>
      </c>
      <c r="G88" s="783">
        <v>1325735</v>
      </c>
      <c r="H88" s="761">
        <f>(G88-F88)*100/F88</f>
        <v>1.2388584449779765</v>
      </c>
      <c r="I88" s="56"/>
      <c r="J88" s="56"/>
      <c r="K88" s="56"/>
      <c r="L88" s="56"/>
      <c r="M88" s="744"/>
    </row>
    <row r="89" spans="1:13" ht="9.75" customHeight="1">
      <c r="A89" s="759"/>
      <c r="B89" s="767"/>
      <c r="C89" s="803"/>
      <c r="D89" s="804"/>
      <c r="E89" s="803"/>
      <c r="F89" s="768"/>
      <c r="G89" s="768"/>
      <c r="H89" s="761"/>
      <c r="I89" s="56"/>
      <c r="J89" s="56"/>
      <c r="K89" s="56"/>
      <c r="L89" s="56"/>
      <c r="M89" s="744"/>
    </row>
    <row r="90" spans="1:13" ht="18">
      <c r="A90" s="1244" t="s">
        <v>2066</v>
      </c>
      <c r="B90" s="1245"/>
      <c r="C90" s="1245"/>
      <c r="D90" s="752"/>
      <c r="E90" s="807"/>
      <c r="F90" s="802"/>
      <c r="G90" s="802"/>
      <c r="H90" s="761"/>
      <c r="I90" s="56"/>
      <c r="J90" s="56"/>
      <c r="K90" s="56"/>
      <c r="L90" s="56"/>
      <c r="M90" s="744"/>
    </row>
    <row r="91" spans="1:13" ht="9.75" customHeight="1">
      <c r="A91" s="759"/>
      <c r="B91" s="767"/>
      <c r="C91" s="803"/>
      <c r="D91" s="804"/>
      <c r="E91" s="803"/>
      <c r="F91" s="768"/>
      <c r="G91" s="768"/>
      <c r="H91" s="761"/>
      <c r="I91" s="56"/>
      <c r="J91" s="56"/>
      <c r="K91" s="56"/>
      <c r="L91" s="56"/>
      <c r="M91" s="744"/>
    </row>
    <row r="92" spans="1:13" ht="36">
      <c r="A92" s="1228" t="s">
        <v>570</v>
      </c>
      <c r="B92" s="762"/>
      <c r="C92" s="820" t="s">
        <v>2067</v>
      </c>
      <c r="D92" s="763"/>
      <c r="E92" s="743"/>
      <c r="F92" s="764"/>
      <c r="G92" s="764"/>
      <c r="H92" s="761"/>
      <c r="I92" s="56"/>
      <c r="J92" s="56"/>
      <c r="K92" s="56"/>
      <c r="L92" s="56"/>
      <c r="M92" s="744"/>
    </row>
    <row r="93" spans="1:13" ht="18">
      <c r="A93" s="1229"/>
      <c r="B93" s="749" t="s">
        <v>1048</v>
      </c>
      <c r="C93" s="820" t="s">
        <v>2068</v>
      </c>
      <c r="D93" s="749" t="s">
        <v>2069</v>
      </c>
      <c r="E93" s="749" t="s">
        <v>1257</v>
      </c>
      <c r="F93" s="821">
        <v>233121</v>
      </c>
      <c r="G93" s="821">
        <v>244025</v>
      </c>
      <c r="H93" s="761">
        <f>(G93-F93)*100/F93</f>
        <v>4.67739929049721</v>
      </c>
      <c r="I93" s="56"/>
      <c r="J93" s="56"/>
      <c r="K93" s="56"/>
      <c r="L93" s="56"/>
      <c r="M93" s="744"/>
    </row>
    <row r="94" spans="1:13" ht="18">
      <c r="A94" s="1230"/>
      <c r="B94" s="746" t="s">
        <v>1072</v>
      </c>
      <c r="C94" s="782" t="s">
        <v>2070</v>
      </c>
      <c r="D94" s="746" t="s">
        <v>2071</v>
      </c>
      <c r="E94" s="746" t="s">
        <v>1257</v>
      </c>
      <c r="F94" s="783">
        <v>190865</v>
      </c>
      <c r="G94" s="783">
        <v>196206</v>
      </c>
      <c r="H94" s="761">
        <f>(G94-F94)*100/F94</f>
        <v>2.7983129437036647</v>
      </c>
      <c r="I94" s="56"/>
      <c r="J94" s="56"/>
      <c r="K94" s="56"/>
      <c r="L94" s="56"/>
      <c r="M94" s="744"/>
    </row>
    <row r="95" spans="1:13" ht="9.75" customHeight="1">
      <c r="A95" s="759"/>
      <c r="B95" s="767"/>
      <c r="C95" s="803"/>
      <c r="D95" s="804"/>
      <c r="E95" s="803"/>
      <c r="F95" s="768"/>
      <c r="G95" s="768"/>
      <c r="H95" s="761"/>
      <c r="I95" s="56"/>
      <c r="J95" s="56"/>
      <c r="K95" s="56"/>
      <c r="L95" s="56"/>
      <c r="M95" s="744"/>
    </row>
    <row r="96" spans="1:13" ht="36">
      <c r="A96" s="774" t="s">
        <v>1261</v>
      </c>
      <c r="B96" s="827"/>
      <c r="C96" s="827" t="s">
        <v>2072</v>
      </c>
      <c r="D96" s="747" t="s">
        <v>2073</v>
      </c>
      <c r="E96" s="747" t="s">
        <v>1130</v>
      </c>
      <c r="F96" s="828">
        <v>36138</v>
      </c>
      <c r="G96" s="828">
        <v>37102</v>
      </c>
      <c r="H96" s="761">
        <f>(G96-F96)*100/F96</f>
        <v>2.667552161159998</v>
      </c>
      <c r="I96" s="56"/>
      <c r="J96" s="56"/>
      <c r="K96" s="56"/>
      <c r="L96" s="56"/>
      <c r="M96" s="744"/>
    </row>
    <row r="97" spans="1:13" ht="9.75" customHeight="1">
      <c r="A97" s="819"/>
      <c r="B97" s="830"/>
      <c r="C97" s="831"/>
      <c r="D97" s="832"/>
      <c r="E97" s="831"/>
      <c r="F97" s="833"/>
      <c r="G97" s="833"/>
      <c r="H97" s="761"/>
      <c r="I97" s="847"/>
      <c r="J97" s="847"/>
      <c r="K97" s="847"/>
      <c r="L97" s="847"/>
      <c r="M97" s="818"/>
    </row>
    <row r="98" spans="1:13" ht="18">
      <c r="A98" s="1244" t="s">
        <v>2074</v>
      </c>
      <c r="B98" s="1245"/>
      <c r="C98" s="1245"/>
      <c r="D98" s="752"/>
      <c r="E98" s="807"/>
      <c r="F98" s="802"/>
      <c r="G98" s="802"/>
      <c r="H98" s="761"/>
      <c r="I98" s="56"/>
      <c r="J98" s="56"/>
      <c r="K98" s="56"/>
      <c r="L98" s="56"/>
      <c r="M98" s="744"/>
    </row>
    <row r="99" spans="1:13" ht="9.75" customHeight="1">
      <c r="A99" s="834"/>
      <c r="B99" s="835"/>
      <c r="C99" s="807"/>
      <c r="D99" s="752"/>
      <c r="E99" s="807"/>
      <c r="F99" s="802"/>
      <c r="G99" s="802"/>
      <c r="H99" s="761"/>
      <c r="I99" s="56"/>
      <c r="J99" s="56"/>
      <c r="K99" s="56"/>
      <c r="L99" s="56"/>
      <c r="M99" s="744"/>
    </row>
    <row r="100" spans="1:13" ht="36">
      <c r="A100" s="1228" t="s">
        <v>570</v>
      </c>
      <c r="B100" s="836"/>
      <c r="C100" s="820" t="s">
        <v>460</v>
      </c>
      <c r="D100" s="837"/>
      <c r="E100" s="838"/>
      <c r="F100" s="839"/>
      <c r="G100" s="839"/>
      <c r="H100" s="761"/>
      <c r="I100" s="56"/>
      <c r="J100" s="56"/>
      <c r="K100" s="56"/>
      <c r="L100" s="56"/>
      <c r="M100" s="744"/>
    </row>
    <row r="101" spans="1:13" ht="18">
      <c r="A101" s="1229"/>
      <c r="B101" s="749" t="s">
        <v>1048</v>
      </c>
      <c r="C101" s="820" t="s">
        <v>2075</v>
      </c>
      <c r="D101" s="749" t="s">
        <v>461</v>
      </c>
      <c r="E101" s="749" t="s">
        <v>1257</v>
      </c>
      <c r="F101" s="821">
        <v>472265</v>
      </c>
      <c r="G101" s="821">
        <v>484324</v>
      </c>
      <c r="H101" s="761">
        <f>(G101-F101)*100/F101</f>
        <v>2.553439276677289</v>
      </c>
      <c r="I101" s="56"/>
      <c r="J101" s="56"/>
      <c r="K101" s="56"/>
      <c r="L101" s="56"/>
      <c r="M101" s="744"/>
    </row>
    <row r="102" spans="1:13" ht="18">
      <c r="A102" s="1230"/>
      <c r="B102" s="759" t="s">
        <v>1072</v>
      </c>
      <c r="C102" s="756" t="s">
        <v>1302</v>
      </c>
      <c r="D102" s="746" t="s">
        <v>462</v>
      </c>
      <c r="E102" s="746" t="s">
        <v>1257</v>
      </c>
      <c r="F102" s="783">
        <v>0</v>
      </c>
      <c r="G102" s="783">
        <v>309203</v>
      </c>
      <c r="H102" s="761"/>
      <c r="I102" s="56"/>
      <c r="J102" s="56"/>
      <c r="K102" s="56"/>
      <c r="L102" s="700"/>
      <c r="M102" s="744"/>
    </row>
    <row r="103" spans="1:13" ht="9.75" customHeight="1">
      <c r="A103" s="765"/>
      <c r="B103" s="759"/>
      <c r="C103" s="782"/>
      <c r="D103" s="746"/>
      <c r="E103" s="746"/>
      <c r="F103" s="783"/>
      <c r="G103" s="783"/>
      <c r="H103" s="761"/>
      <c r="I103" s="56"/>
      <c r="J103" s="56"/>
      <c r="K103" s="56"/>
      <c r="L103" s="56"/>
      <c r="M103" s="744"/>
    </row>
    <row r="104" spans="1:13" ht="36">
      <c r="A104" s="774" t="s">
        <v>1261</v>
      </c>
      <c r="B104" s="759" t="s">
        <v>1072</v>
      </c>
      <c r="C104" s="756" t="s">
        <v>2076</v>
      </c>
      <c r="D104" s="759" t="s">
        <v>2077</v>
      </c>
      <c r="E104" s="759" t="s">
        <v>1742</v>
      </c>
      <c r="F104" s="760">
        <v>27576</v>
      </c>
      <c r="G104" s="760">
        <v>27672</v>
      </c>
      <c r="H104" s="761">
        <f>(G104-F104)*100/F104</f>
        <v>0.34812880765883375</v>
      </c>
      <c r="I104" s="56"/>
      <c r="J104" s="56"/>
      <c r="K104" s="56"/>
      <c r="L104" s="56"/>
      <c r="M104" s="744"/>
    </row>
    <row r="105" spans="1:13" ht="17.25" customHeight="1">
      <c r="A105" s="1228" t="s">
        <v>1267</v>
      </c>
      <c r="B105" s="759" t="s">
        <v>1693</v>
      </c>
      <c r="C105" s="756" t="s">
        <v>1307</v>
      </c>
      <c r="D105" s="759" t="s">
        <v>2078</v>
      </c>
      <c r="E105" s="746" t="s">
        <v>1257</v>
      </c>
      <c r="F105" s="760"/>
      <c r="G105" s="760"/>
      <c r="H105" s="761"/>
      <c r="I105" s="56"/>
      <c r="J105" s="56"/>
      <c r="K105" s="56"/>
      <c r="L105" s="56"/>
      <c r="M105" s="744"/>
    </row>
    <row r="106" spans="1:13" ht="36">
      <c r="A106" s="1229"/>
      <c r="B106" s="759" t="s">
        <v>1556</v>
      </c>
      <c r="C106" s="756" t="s">
        <v>1308</v>
      </c>
      <c r="D106" s="759"/>
      <c r="E106" s="746"/>
      <c r="F106" s="760"/>
      <c r="G106" s="760"/>
      <c r="H106" s="761"/>
      <c r="I106" s="56"/>
      <c r="J106" s="56"/>
      <c r="K106" s="56"/>
      <c r="L106" s="56"/>
      <c r="M106" s="744"/>
    </row>
    <row r="107" spans="1:13" ht="36">
      <c r="A107" s="1229"/>
      <c r="B107" s="749" t="s">
        <v>1048</v>
      </c>
      <c r="C107" s="756" t="s">
        <v>1309</v>
      </c>
      <c r="D107" s="759" t="s">
        <v>1311</v>
      </c>
      <c r="E107" s="746" t="s">
        <v>1257</v>
      </c>
      <c r="F107" s="760">
        <v>1323200</v>
      </c>
      <c r="G107" s="760">
        <v>1344420</v>
      </c>
      <c r="H107" s="761">
        <f>(G107-F107)*100/F107</f>
        <v>1.6036880290205562</v>
      </c>
      <c r="I107" s="56"/>
      <c r="J107" s="56"/>
      <c r="K107" s="56"/>
      <c r="L107" s="56"/>
      <c r="M107" s="744"/>
    </row>
    <row r="108" spans="1:13" ht="36">
      <c r="A108" s="1229"/>
      <c r="B108" s="759" t="s">
        <v>1072</v>
      </c>
      <c r="C108" s="756" t="s">
        <v>1310</v>
      </c>
      <c r="D108" s="759" t="s">
        <v>1312</v>
      </c>
      <c r="E108" s="746" t="s">
        <v>1257</v>
      </c>
      <c r="F108" s="760">
        <v>1455152</v>
      </c>
      <c r="G108" s="760">
        <v>1481953</v>
      </c>
      <c r="H108" s="761">
        <f>(G108-F108)*100/F108</f>
        <v>1.8418007191001353</v>
      </c>
      <c r="I108" s="56"/>
      <c r="J108" s="56"/>
      <c r="K108" s="56"/>
      <c r="L108" s="56"/>
      <c r="M108" s="744"/>
    </row>
    <row r="109" spans="1:13" ht="18">
      <c r="A109" s="1229"/>
      <c r="B109" s="759" t="s">
        <v>1558</v>
      </c>
      <c r="C109" s="756" t="s">
        <v>1313</v>
      </c>
      <c r="D109" s="759"/>
      <c r="E109" s="746"/>
      <c r="F109" s="760"/>
      <c r="G109" s="760"/>
      <c r="H109" s="761"/>
      <c r="I109" s="56"/>
      <c r="J109" s="56"/>
      <c r="K109" s="56"/>
      <c r="L109" s="56"/>
      <c r="M109" s="744"/>
    </row>
    <row r="110" spans="1:13" ht="36">
      <c r="A110" s="1229"/>
      <c r="B110" s="749" t="s">
        <v>1048</v>
      </c>
      <c r="C110" s="756" t="s">
        <v>1309</v>
      </c>
      <c r="D110" s="759" t="s">
        <v>1314</v>
      </c>
      <c r="E110" s="746" t="s">
        <v>1257</v>
      </c>
      <c r="F110" s="760">
        <v>703413</v>
      </c>
      <c r="G110" s="760">
        <v>737869</v>
      </c>
      <c r="H110" s="761">
        <f>(G110-F110)*100/F110</f>
        <v>4.8984025032235685</v>
      </c>
      <c r="I110" s="56"/>
      <c r="J110" s="56"/>
      <c r="K110" s="56"/>
      <c r="L110" s="56"/>
      <c r="M110" s="744"/>
    </row>
    <row r="111" spans="1:13" ht="36">
      <c r="A111" s="1230"/>
      <c r="B111" s="759" t="s">
        <v>1072</v>
      </c>
      <c r="C111" s="756" t="s">
        <v>1310</v>
      </c>
      <c r="D111" s="759" t="s">
        <v>1315</v>
      </c>
      <c r="E111" s="746" t="s">
        <v>1257</v>
      </c>
      <c r="F111" s="760">
        <v>835365</v>
      </c>
      <c r="G111" s="760">
        <v>875402</v>
      </c>
      <c r="H111" s="761">
        <f>(G111-F111)*100/F111</f>
        <v>4.792755262669611</v>
      </c>
      <c r="I111" s="56"/>
      <c r="J111" s="56"/>
      <c r="K111" s="56"/>
      <c r="L111" s="56"/>
      <c r="M111" s="744"/>
    </row>
    <row r="112" spans="1:13" ht="36">
      <c r="A112" s="774" t="s">
        <v>1273</v>
      </c>
      <c r="B112" s="759" t="s">
        <v>1695</v>
      </c>
      <c r="C112" s="756" t="s">
        <v>2079</v>
      </c>
      <c r="D112" s="759" t="s">
        <v>2080</v>
      </c>
      <c r="E112" s="746" t="s">
        <v>1257</v>
      </c>
      <c r="F112" s="760">
        <v>176245</v>
      </c>
      <c r="G112" s="760">
        <v>188319</v>
      </c>
      <c r="H112" s="761">
        <f>(G112-F112)*100/F112</f>
        <v>6.850690799739</v>
      </c>
      <c r="I112" s="56"/>
      <c r="J112" s="56"/>
      <c r="K112" s="56"/>
      <c r="L112" s="56"/>
      <c r="M112" s="744"/>
    </row>
    <row r="113" spans="1:13" ht="36">
      <c r="A113" s="774" t="s">
        <v>1519</v>
      </c>
      <c r="B113" s="746" t="s">
        <v>1697</v>
      </c>
      <c r="C113" s="782" t="s">
        <v>2081</v>
      </c>
      <c r="D113" s="746" t="s">
        <v>2082</v>
      </c>
      <c r="E113" s="746" t="s">
        <v>1257</v>
      </c>
      <c r="F113" s="783">
        <v>124629</v>
      </c>
      <c r="G113" s="783">
        <v>133008</v>
      </c>
      <c r="H113" s="761">
        <f>(G113-F113)*100/F113</f>
        <v>6.723154322027779</v>
      </c>
      <c r="I113" s="56"/>
      <c r="J113" s="56"/>
      <c r="K113" s="56"/>
      <c r="L113" s="56"/>
      <c r="M113" s="744"/>
    </row>
    <row r="114" spans="1:13" ht="36">
      <c r="A114" s="774" t="s">
        <v>1740</v>
      </c>
      <c r="B114" s="840" t="s">
        <v>1699</v>
      </c>
      <c r="C114" s="756" t="s">
        <v>2083</v>
      </c>
      <c r="D114" s="759" t="s">
        <v>2084</v>
      </c>
      <c r="E114" s="746" t="s">
        <v>1257</v>
      </c>
      <c r="F114" s="760">
        <v>2493728</v>
      </c>
      <c r="G114" s="760">
        <v>2557916</v>
      </c>
      <c r="H114" s="761">
        <f>(G114-F114)*100/F114</f>
        <v>2.573977594990312</v>
      </c>
      <c r="I114" s="56"/>
      <c r="J114" s="56"/>
      <c r="K114" s="56"/>
      <c r="L114" s="56"/>
      <c r="M114" s="744"/>
    </row>
    <row r="115" spans="1:13" ht="11.25" customHeight="1">
      <c r="A115" s="841"/>
      <c r="B115" s="808"/>
      <c r="C115" s="804"/>
      <c r="D115" s="804"/>
      <c r="E115" s="803"/>
      <c r="F115" s="768"/>
      <c r="G115" s="768"/>
      <c r="H115" s="761"/>
      <c r="I115" s="56"/>
      <c r="J115" s="56"/>
      <c r="K115" s="56"/>
      <c r="L115" s="56"/>
      <c r="M115" s="744"/>
    </row>
    <row r="116" spans="1:13" ht="18">
      <c r="A116" s="1228" t="s">
        <v>1743</v>
      </c>
      <c r="B116" s="782"/>
      <c r="C116" s="820" t="s">
        <v>2085</v>
      </c>
      <c r="D116" s="763"/>
      <c r="E116" s="743"/>
      <c r="F116" s="764"/>
      <c r="G116" s="764"/>
      <c r="H116" s="761"/>
      <c r="I116" s="56"/>
      <c r="J116" s="56"/>
      <c r="K116" s="56"/>
      <c r="L116" s="56"/>
      <c r="M116" s="744"/>
    </row>
    <row r="117" spans="1:13" ht="18">
      <c r="A117" s="1229"/>
      <c r="B117" s="759" t="s">
        <v>1048</v>
      </c>
      <c r="C117" s="820" t="s">
        <v>2086</v>
      </c>
      <c r="D117" s="749" t="s">
        <v>463</v>
      </c>
      <c r="E117" s="749" t="s">
        <v>1130</v>
      </c>
      <c r="F117" s="821">
        <v>79373</v>
      </c>
      <c r="G117" s="821">
        <v>79655</v>
      </c>
      <c r="H117" s="761">
        <f>(G117-F117)*100/F117</f>
        <v>0.35528454260264825</v>
      </c>
      <c r="I117" s="56"/>
      <c r="J117" s="56"/>
      <c r="K117" s="56"/>
      <c r="L117" s="56"/>
      <c r="M117" s="744"/>
    </row>
    <row r="118" spans="1:13" ht="18">
      <c r="A118" s="1230"/>
      <c r="B118" s="759" t="s">
        <v>1072</v>
      </c>
      <c r="C118" s="756" t="s">
        <v>1302</v>
      </c>
      <c r="D118" s="749" t="s">
        <v>464</v>
      </c>
      <c r="E118" s="749" t="s">
        <v>1130</v>
      </c>
      <c r="F118" s="760">
        <v>0</v>
      </c>
      <c r="G118" s="760">
        <v>50262</v>
      </c>
      <c r="H118" s="761"/>
      <c r="I118" s="56"/>
      <c r="J118" s="56"/>
      <c r="K118" s="56"/>
      <c r="L118" s="700"/>
      <c r="M118" s="744"/>
    </row>
    <row r="119" spans="1:13" ht="9.75" customHeight="1">
      <c r="A119" s="842"/>
      <c r="B119" s="843"/>
      <c r="C119" s="758"/>
      <c r="D119" s="789"/>
      <c r="E119" s="789"/>
      <c r="F119" s="790"/>
      <c r="G119" s="790"/>
      <c r="H119" s="853"/>
      <c r="I119" s="56"/>
      <c r="J119" s="56"/>
      <c r="K119" s="56"/>
      <c r="L119" s="56"/>
      <c r="M119" s="744"/>
    </row>
    <row r="120" spans="1:13" ht="36">
      <c r="A120" s="1232" t="s">
        <v>382</v>
      </c>
      <c r="B120" s="756"/>
      <c r="C120" s="756" t="s">
        <v>2087</v>
      </c>
      <c r="D120" s="845"/>
      <c r="E120" s="756"/>
      <c r="F120" s="846"/>
      <c r="G120" s="846"/>
      <c r="H120" s="761"/>
      <c r="I120" s="56"/>
      <c r="J120" s="56"/>
      <c r="K120" s="56"/>
      <c r="L120" s="56"/>
      <c r="M120" s="744"/>
    </row>
    <row r="121" spans="1:13" ht="18">
      <c r="A121" s="1232"/>
      <c r="B121" s="759" t="s">
        <v>1048</v>
      </c>
      <c r="C121" s="756" t="s">
        <v>2068</v>
      </c>
      <c r="D121" s="759" t="s">
        <v>2088</v>
      </c>
      <c r="E121" s="759" t="s">
        <v>1257</v>
      </c>
      <c r="F121" s="760">
        <v>340870</v>
      </c>
      <c r="G121" s="760">
        <v>353296</v>
      </c>
      <c r="H121" s="761">
        <f>(G121-F121)*100/F121</f>
        <v>3.6453780033443834</v>
      </c>
      <c r="I121" s="56"/>
      <c r="J121" s="56"/>
      <c r="K121" s="56"/>
      <c r="L121" s="56"/>
      <c r="M121" s="744"/>
    </row>
    <row r="122" spans="1:13" ht="18">
      <c r="A122" s="1232"/>
      <c r="B122" s="759" t="s">
        <v>1072</v>
      </c>
      <c r="C122" s="756" t="s">
        <v>2089</v>
      </c>
      <c r="D122" s="759" t="s">
        <v>2090</v>
      </c>
      <c r="E122" s="759" t="s">
        <v>1257</v>
      </c>
      <c r="F122" s="760">
        <v>298616</v>
      </c>
      <c r="G122" s="760">
        <v>307878</v>
      </c>
      <c r="H122" s="761">
        <f>(G122-F122)*100/F122</f>
        <v>3.1016422428804886</v>
      </c>
      <c r="I122" s="56"/>
      <c r="J122" s="56"/>
      <c r="K122" s="56"/>
      <c r="L122" s="56"/>
      <c r="M122" s="744"/>
    </row>
    <row r="123" spans="1:13" ht="9.75" customHeight="1">
      <c r="A123" s="759"/>
      <c r="B123" s="755"/>
      <c r="C123" s="758"/>
      <c r="D123" s="757"/>
      <c r="E123" s="758"/>
      <c r="F123" s="775"/>
      <c r="G123" s="775"/>
      <c r="H123" s="761"/>
      <c r="I123" s="56"/>
      <c r="J123" s="56"/>
      <c r="K123" s="56"/>
      <c r="L123" s="56"/>
      <c r="M123" s="744"/>
    </row>
    <row r="124" spans="1:13" ht="36">
      <c r="A124" s="774" t="s">
        <v>384</v>
      </c>
      <c r="B124" s="756"/>
      <c r="C124" s="756" t="s">
        <v>1941</v>
      </c>
      <c r="D124" s="759" t="s">
        <v>2091</v>
      </c>
      <c r="E124" s="759" t="s">
        <v>1130</v>
      </c>
      <c r="F124" s="760">
        <v>57303</v>
      </c>
      <c r="G124" s="760">
        <v>57914</v>
      </c>
      <c r="H124" s="761">
        <f>(G124-F124)*100/F124</f>
        <v>1.0662618013018517</v>
      </c>
      <c r="I124" s="56"/>
      <c r="J124" s="56"/>
      <c r="K124" s="699"/>
      <c r="L124" s="56"/>
      <c r="M124" s="744"/>
    </row>
    <row r="125" spans="1:13" ht="9.75" customHeight="1">
      <c r="A125" s="774"/>
      <c r="B125" s="756"/>
      <c r="C125" s="756"/>
      <c r="D125" s="759"/>
      <c r="E125" s="759"/>
      <c r="F125" s="760"/>
      <c r="G125" s="760"/>
      <c r="H125" s="761"/>
      <c r="I125" s="56"/>
      <c r="J125" s="56"/>
      <c r="K125" s="699"/>
      <c r="L125" s="56"/>
      <c r="M125" s="744"/>
    </row>
    <row r="126" spans="1:13" ht="18">
      <c r="A126" s="1228" t="s">
        <v>392</v>
      </c>
      <c r="B126" s="756"/>
      <c r="C126" s="1178" t="s">
        <v>465</v>
      </c>
      <c r="D126" s="759"/>
      <c r="E126" s="759"/>
      <c r="F126" s="760"/>
      <c r="G126" s="760"/>
      <c r="H126" s="761"/>
      <c r="I126" s="56"/>
      <c r="J126" s="56"/>
      <c r="K126" s="1196"/>
      <c r="L126" s="56"/>
      <c r="M126" s="744"/>
    </row>
    <row r="127" spans="1:13" ht="18">
      <c r="A127" s="1229"/>
      <c r="B127" s="759" t="s">
        <v>1556</v>
      </c>
      <c r="C127" s="756" t="s">
        <v>1302</v>
      </c>
      <c r="D127" s="759"/>
      <c r="E127" s="759"/>
      <c r="F127" s="760"/>
      <c r="G127" s="760"/>
      <c r="H127" s="761"/>
      <c r="I127" s="56"/>
      <c r="J127" s="56"/>
      <c r="K127" s="56"/>
      <c r="L127" s="56"/>
      <c r="M127" s="744"/>
    </row>
    <row r="128" spans="1:13" ht="18">
      <c r="A128" s="1229"/>
      <c r="B128" s="759" t="s">
        <v>1048</v>
      </c>
      <c r="C128" s="756" t="s">
        <v>1647</v>
      </c>
      <c r="D128" s="759" t="s">
        <v>2092</v>
      </c>
      <c r="E128" s="759" t="s">
        <v>1257</v>
      </c>
      <c r="F128" s="760">
        <v>0</v>
      </c>
      <c r="G128" s="760">
        <v>358947</v>
      </c>
      <c r="H128" s="761"/>
      <c r="I128" s="56"/>
      <c r="J128" s="56"/>
      <c r="K128" s="56"/>
      <c r="L128" s="700"/>
      <c r="M128" s="744"/>
    </row>
    <row r="129" spans="1:13" ht="18">
      <c r="A129" s="1230"/>
      <c r="B129" s="759" t="s">
        <v>1072</v>
      </c>
      <c r="C129" s="756" t="s">
        <v>1646</v>
      </c>
      <c r="D129" s="759" t="s">
        <v>2093</v>
      </c>
      <c r="E129" s="759" t="s">
        <v>1257</v>
      </c>
      <c r="F129" s="760">
        <v>0</v>
      </c>
      <c r="G129" s="760">
        <v>410297</v>
      </c>
      <c r="H129" s="761"/>
      <c r="I129" s="56"/>
      <c r="J129" s="56"/>
      <c r="K129" s="56"/>
      <c r="L129" s="700"/>
      <c r="M129" s="744"/>
    </row>
    <row r="130" spans="1:13" ht="9.75" customHeight="1">
      <c r="A130" s="765"/>
      <c r="B130" s="759"/>
      <c r="C130" s="756"/>
      <c r="D130" s="759"/>
      <c r="E130" s="759"/>
      <c r="F130" s="760"/>
      <c r="G130" s="760"/>
      <c r="H130" s="761"/>
      <c r="I130" s="56"/>
      <c r="J130" s="56"/>
      <c r="K130" s="56"/>
      <c r="L130" s="56"/>
      <c r="M130" s="744"/>
    </row>
    <row r="131" spans="1:13" ht="36">
      <c r="A131" s="1228" t="s">
        <v>396</v>
      </c>
      <c r="B131" s="756"/>
      <c r="C131" s="756" t="s">
        <v>2094</v>
      </c>
      <c r="D131" s="759"/>
      <c r="E131" s="759"/>
      <c r="F131" s="760"/>
      <c r="G131" s="760"/>
      <c r="H131" s="761"/>
      <c r="I131" s="56"/>
      <c r="J131" s="56"/>
      <c r="K131" s="56"/>
      <c r="L131" s="56"/>
      <c r="M131" s="744"/>
    </row>
    <row r="132" spans="1:13" ht="18">
      <c r="A132" s="1229"/>
      <c r="B132" s="759" t="s">
        <v>1048</v>
      </c>
      <c r="C132" s="756" t="s">
        <v>2095</v>
      </c>
      <c r="D132" s="759" t="s">
        <v>2096</v>
      </c>
      <c r="E132" s="759" t="s">
        <v>1257</v>
      </c>
      <c r="F132" s="760">
        <v>566311</v>
      </c>
      <c r="G132" s="760">
        <v>579209</v>
      </c>
      <c r="H132" s="761">
        <f>(G132-F132)*100/F132</f>
        <v>2.277547142824349</v>
      </c>
      <c r="I132" s="56"/>
      <c r="J132" s="56"/>
      <c r="K132" s="56"/>
      <c r="L132" s="56"/>
      <c r="M132" s="56"/>
    </row>
    <row r="133" spans="1:13" ht="18">
      <c r="A133" s="1230"/>
      <c r="B133" s="759" t="s">
        <v>1072</v>
      </c>
      <c r="C133" s="756" t="s">
        <v>2001</v>
      </c>
      <c r="D133" s="759" t="s">
        <v>2097</v>
      </c>
      <c r="E133" s="759" t="s">
        <v>1257</v>
      </c>
      <c r="F133" s="760">
        <v>613398</v>
      </c>
      <c r="G133" s="760">
        <v>630559</v>
      </c>
      <c r="H133" s="761">
        <f>(G133-F133)*100/F133</f>
        <v>2.7976941561596225</v>
      </c>
      <c r="I133" s="56"/>
      <c r="J133" s="56"/>
      <c r="K133" s="56"/>
      <c r="L133" s="56"/>
      <c r="M133" s="744"/>
    </row>
    <row r="134" spans="1:13" ht="36">
      <c r="A134" s="774" t="s">
        <v>403</v>
      </c>
      <c r="B134" s="756"/>
      <c r="C134" s="756" t="s">
        <v>1801</v>
      </c>
      <c r="D134" s="759" t="s">
        <v>1802</v>
      </c>
      <c r="E134" s="759" t="s">
        <v>1742</v>
      </c>
      <c r="F134" s="760">
        <v>31298</v>
      </c>
      <c r="G134" s="760">
        <v>31311</v>
      </c>
      <c r="H134" s="761">
        <f>(G134-F134)*100/F134</f>
        <v>0.04153620039619145</v>
      </c>
      <c r="I134" s="56"/>
      <c r="J134" s="56"/>
      <c r="K134" s="56"/>
      <c r="L134" s="56"/>
      <c r="M134" s="744"/>
    </row>
    <row r="135" spans="1:13" ht="54">
      <c r="A135" s="774" t="s">
        <v>1803</v>
      </c>
      <c r="B135" s="756"/>
      <c r="C135" s="756" t="s">
        <v>1804</v>
      </c>
      <c r="D135" s="759" t="s">
        <v>1805</v>
      </c>
      <c r="E135" s="759" t="s">
        <v>395</v>
      </c>
      <c r="F135" s="760">
        <v>1762298</v>
      </c>
      <c r="G135" s="760">
        <v>1862805</v>
      </c>
      <c r="H135" s="761">
        <f>(G135-F135)*100/F135</f>
        <v>5.703178463574265</v>
      </c>
      <c r="I135" s="56"/>
      <c r="J135" s="190"/>
      <c r="K135" s="56"/>
      <c r="L135" s="56"/>
      <c r="M135" s="744"/>
    </row>
    <row r="136" spans="1:13" ht="54">
      <c r="A136" s="774" t="s">
        <v>1806</v>
      </c>
      <c r="B136" s="756"/>
      <c r="C136" s="756" t="s">
        <v>1807</v>
      </c>
      <c r="D136" s="759" t="s">
        <v>1808</v>
      </c>
      <c r="E136" s="759" t="s">
        <v>395</v>
      </c>
      <c r="F136" s="760">
        <v>320902</v>
      </c>
      <c r="G136" s="760">
        <v>333720</v>
      </c>
      <c r="H136" s="761">
        <f>(G136-F136)*100/F136</f>
        <v>3.994365881172445</v>
      </c>
      <c r="I136" s="56"/>
      <c r="J136" s="190"/>
      <c r="K136" s="56"/>
      <c r="L136" s="56"/>
      <c r="M136" s="744"/>
    </row>
    <row r="137" spans="1:13" ht="18">
      <c r="A137" s="1232" t="s">
        <v>1809</v>
      </c>
      <c r="B137" s="756"/>
      <c r="C137" s="756" t="s">
        <v>1810</v>
      </c>
      <c r="D137" s="759"/>
      <c r="E137" s="759"/>
      <c r="F137" s="760"/>
      <c r="G137" s="760"/>
      <c r="H137" s="761"/>
      <c r="I137" s="56"/>
      <c r="J137" s="56"/>
      <c r="K137" s="56"/>
      <c r="L137" s="56"/>
      <c r="M137" s="744"/>
    </row>
    <row r="138" spans="1:13" ht="18">
      <c r="A138" s="1232"/>
      <c r="B138" s="759" t="s">
        <v>1048</v>
      </c>
      <c r="C138" s="756" t="s">
        <v>1811</v>
      </c>
      <c r="D138" s="759" t="s">
        <v>1812</v>
      </c>
      <c r="E138" s="759" t="s">
        <v>1257</v>
      </c>
      <c r="F138" s="760">
        <v>894647</v>
      </c>
      <c r="G138" s="760">
        <v>930785</v>
      </c>
      <c r="H138" s="761">
        <f>(G138-F138)*100/F138</f>
        <v>4.0393585402957815</v>
      </c>
      <c r="I138" s="56"/>
      <c r="J138" s="56"/>
      <c r="K138" s="56"/>
      <c r="L138" s="56"/>
      <c r="M138" s="744"/>
    </row>
    <row r="139" spans="1:13" ht="18">
      <c r="A139" s="1232"/>
      <c r="B139" s="759" t="s">
        <v>1072</v>
      </c>
      <c r="C139" s="756" t="s">
        <v>1813</v>
      </c>
      <c r="D139" s="759" t="s">
        <v>1814</v>
      </c>
      <c r="E139" s="759" t="s">
        <v>1257</v>
      </c>
      <c r="F139" s="760">
        <v>1370399</v>
      </c>
      <c r="G139" s="760">
        <v>1424669</v>
      </c>
      <c r="H139" s="761">
        <f>(G139-F139)*100/F139</f>
        <v>3.9601605079980358</v>
      </c>
      <c r="I139" s="56"/>
      <c r="J139" s="56"/>
      <c r="K139" s="56"/>
      <c r="L139" s="56"/>
      <c r="M139" s="744"/>
    </row>
    <row r="140" spans="1:13" ht="18">
      <c r="A140" s="1232"/>
      <c r="B140" s="759" t="s">
        <v>1693</v>
      </c>
      <c r="C140" s="756" t="s">
        <v>1815</v>
      </c>
      <c r="D140" s="759" t="s">
        <v>1816</v>
      </c>
      <c r="E140" s="759" t="s">
        <v>1257</v>
      </c>
      <c r="F140" s="760">
        <v>1938792</v>
      </c>
      <c r="G140" s="760">
        <v>2014725</v>
      </c>
      <c r="H140" s="761">
        <f>(G140-F140)*100/F140</f>
        <v>3.9165108995704543</v>
      </c>
      <c r="I140" s="56"/>
      <c r="J140" s="56"/>
      <c r="K140" s="56"/>
      <c r="L140" s="56"/>
      <c r="M140" s="744"/>
    </row>
    <row r="141" spans="1:13" ht="36">
      <c r="A141" s="1228" t="s">
        <v>1817</v>
      </c>
      <c r="B141" s="756"/>
      <c r="C141" s="756" t="s">
        <v>1818</v>
      </c>
      <c r="D141" s="759" t="s">
        <v>1819</v>
      </c>
      <c r="E141" s="755"/>
      <c r="F141" s="775"/>
      <c r="G141" s="775"/>
      <c r="H141" s="761"/>
      <c r="I141" s="56"/>
      <c r="J141" s="56"/>
      <c r="K141" s="56"/>
      <c r="L141" s="56"/>
      <c r="M141" s="744"/>
    </row>
    <row r="142" spans="1:13" ht="18">
      <c r="A142" s="1229"/>
      <c r="B142" s="759" t="s">
        <v>1048</v>
      </c>
      <c r="C142" s="756" t="s">
        <v>881</v>
      </c>
      <c r="D142" s="759" t="s">
        <v>1820</v>
      </c>
      <c r="E142" s="759" t="s">
        <v>1742</v>
      </c>
      <c r="F142" s="760">
        <v>1942</v>
      </c>
      <c r="G142" s="760">
        <v>1975</v>
      </c>
      <c r="H142" s="761">
        <f>(G142-F142)*100/F142</f>
        <v>1.6992790937178166</v>
      </c>
      <c r="I142" s="56"/>
      <c r="J142" s="56"/>
      <c r="K142" s="56"/>
      <c r="L142" s="56"/>
      <c r="M142" s="744"/>
    </row>
    <row r="143" spans="1:13" ht="18">
      <c r="A143" s="1229"/>
      <c r="B143" s="759" t="s">
        <v>1072</v>
      </c>
      <c r="C143" s="756" t="s">
        <v>882</v>
      </c>
      <c r="D143" s="759" t="s">
        <v>1821</v>
      </c>
      <c r="E143" s="759" t="s">
        <v>1742</v>
      </c>
      <c r="F143" s="760">
        <v>3683</v>
      </c>
      <c r="G143" s="760">
        <v>3747</v>
      </c>
      <c r="H143" s="761">
        <f>(G143-F143)*100/F143</f>
        <v>1.7377138202552267</v>
      </c>
      <c r="I143" s="56"/>
      <c r="J143" s="56"/>
      <c r="K143" s="56"/>
      <c r="L143" s="56"/>
      <c r="M143" s="744"/>
    </row>
    <row r="144" spans="1:13" ht="18">
      <c r="A144" s="1229"/>
      <c r="B144" s="759" t="s">
        <v>1693</v>
      </c>
      <c r="C144" s="756" t="s">
        <v>883</v>
      </c>
      <c r="D144" s="759" t="s">
        <v>1822</v>
      </c>
      <c r="E144" s="759" t="s">
        <v>1742</v>
      </c>
      <c r="F144" s="760">
        <v>4385</v>
      </c>
      <c r="G144" s="760">
        <v>4462</v>
      </c>
      <c r="H144" s="761">
        <f>(G144-F144)*100/F144</f>
        <v>1.7559863169897378</v>
      </c>
      <c r="I144" s="56"/>
      <c r="J144" s="56"/>
      <c r="K144" s="56"/>
      <c r="L144" s="56"/>
      <c r="M144" s="744"/>
    </row>
    <row r="145" spans="1:13" ht="18">
      <c r="A145" s="1229"/>
      <c r="B145" s="759" t="s">
        <v>1695</v>
      </c>
      <c r="C145" s="756" t="s">
        <v>884</v>
      </c>
      <c r="D145" s="759" t="s">
        <v>1823</v>
      </c>
      <c r="E145" s="759" t="s">
        <v>1742</v>
      </c>
      <c r="F145" s="760">
        <v>4385</v>
      </c>
      <c r="G145" s="760">
        <v>4462</v>
      </c>
      <c r="H145" s="761">
        <f>(G145-F145)*100/F145</f>
        <v>1.7559863169897378</v>
      </c>
      <c r="I145" s="56"/>
      <c r="J145" s="56"/>
      <c r="K145" s="56"/>
      <c r="L145" s="56"/>
      <c r="M145" s="744"/>
    </row>
    <row r="146" spans="1:13" ht="18">
      <c r="A146" s="1230"/>
      <c r="B146" s="759" t="s">
        <v>1697</v>
      </c>
      <c r="C146" s="756" t="s">
        <v>885</v>
      </c>
      <c r="D146" s="759" t="s">
        <v>1824</v>
      </c>
      <c r="E146" s="759" t="s">
        <v>1742</v>
      </c>
      <c r="F146" s="760">
        <v>4385</v>
      </c>
      <c r="G146" s="760">
        <v>4462</v>
      </c>
      <c r="H146" s="761">
        <f>(G146-F146)*100/F146</f>
        <v>1.7559863169897378</v>
      </c>
      <c r="I146" s="847"/>
      <c r="J146" s="847"/>
      <c r="K146" s="847"/>
      <c r="L146" s="847"/>
      <c r="M146" s="818"/>
    </row>
    <row r="147" spans="1:13" ht="9.75" customHeight="1">
      <c r="A147" s="769"/>
      <c r="B147" s="843"/>
      <c r="C147" s="758"/>
      <c r="D147" s="789"/>
      <c r="E147" s="789"/>
      <c r="F147" s="790"/>
      <c r="G147" s="790"/>
      <c r="H147" s="761"/>
      <c r="I147" s="847"/>
      <c r="J147" s="847"/>
      <c r="K147" s="847"/>
      <c r="L147" s="847"/>
      <c r="M147" s="818"/>
    </row>
    <row r="148" spans="1:13" ht="19.5" customHeight="1">
      <c r="A148" s="1232" t="s">
        <v>1825</v>
      </c>
      <c r="B148" s="770"/>
      <c r="C148" s="756" t="s">
        <v>466</v>
      </c>
      <c r="D148" s="772"/>
      <c r="E148" s="771"/>
      <c r="F148" s="760"/>
      <c r="G148" s="760"/>
      <c r="H148" s="761"/>
      <c r="I148" s="847"/>
      <c r="J148" s="847"/>
      <c r="L148" s="847"/>
      <c r="M148" s="818"/>
    </row>
    <row r="149" spans="1:13" ht="20.25" customHeight="1">
      <c r="A149" s="1232"/>
      <c r="B149" s="759" t="s">
        <v>1048</v>
      </c>
      <c r="C149" s="756" t="s">
        <v>1826</v>
      </c>
      <c r="D149" s="759" t="s">
        <v>1827</v>
      </c>
      <c r="E149" s="759" t="s">
        <v>1130</v>
      </c>
      <c r="F149" s="760">
        <v>87687</v>
      </c>
      <c r="G149" s="760">
        <v>87177</v>
      </c>
      <c r="H149" s="761">
        <f>(G149-F149)*100/F149</f>
        <v>-0.5816141503301515</v>
      </c>
      <c r="I149" s="847"/>
      <c r="J149" s="847"/>
      <c r="L149" s="1197"/>
      <c r="M149" s="818"/>
    </row>
    <row r="150" spans="1:13" ht="9" customHeight="1">
      <c r="A150" s="769"/>
      <c r="B150" s="843"/>
      <c r="C150" s="758"/>
      <c r="D150" s="789"/>
      <c r="E150" s="789"/>
      <c r="F150" s="790"/>
      <c r="G150" s="790"/>
      <c r="H150" s="844"/>
      <c r="I150" s="847"/>
      <c r="J150" s="847"/>
      <c r="K150" s="700"/>
      <c r="L150" s="847"/>
      <c r="M150" s="818"/>
    </row>
    <row r="151" spans="1:13" ht="36">
      <c r="A151" s="1232" t="s">
        <v>1828</v>
      </c>
      <c r="B151" s="840"/>
      <c r="C151" s="848" t="s">
        <v>1829</v>
      </c>
      <c r="D151" s="1179"/>
      <c r="E151" s="806"/>
      <c r="F151" s="805"/>
      <c r="G151" s="805"/>
      <c r="H151" s="761"/>
      <c r="I151" s="847"/>
      <c r="J151" s="847"/>
      <c r="K151" s="700"/>
      <c r="L151" s="847"/>
      <c r="M151" s="818"/>
    </row>
    <row r="152" spans="1:13" ht="74.25" customHeight="1">
      <c r="A152" s="1232"/>
      <c r="B152" s="759" t="s">
        <v>1048</v>
      </c>
      <c r="C152" s="849" t="s">
        <v>1830</v>
      </c>
      <c r="D152" s="759" t="s">
        <v>1831</v>
      </c>
      <c r="E152" s="759" t="s">
        <v>1130</v>
      </c>
      <c r="F152" s="760">
        <v>1036047</v>
      </c>
      <c r="G152" s="760">
        <v>1043835</v>
      </c>
      <c r="H152" s="761">
        <f>(G152-F152)*100/F152</f>
        <v>0.7517033493654245</v>
      </c>
      <c r="I152" s="847"/>
      <c r="J152" s="847"/>
      <c r="K152" s="699"/>
      <c r="L152" s="847"/>
      <c r="M152" s="818"/>
    </row>
    <row r="153" spans="1:13" ht="57.75" customHeight="1">
      <c r="A153" s="1232"/>
      <c r="B153" s="759" t="s">
        <v>1072</v>
      </c>
      <c r="C153" s="849" t="s">
        <v>1832</v>
      </c>
      <c r="D153" s="759" t="s">
        <v>1833</v>
      </c>
      <c r="E153" s="759" t="s">
        <v>1130</v>
      </c>
      <c r="F153" s="760">
        <v>857969</v>
      </c>
      <c r="G153" s="760">
        <v>865574</v>
      </c>
      <c r="H153" s="761">
        <f>(G153-F153)*100/F153</f>
        <v>0.8863956623141396</v>
      </c>
      <c r="I153" s="847"/>
      <c r="J153" s="847"/>
      <c r="K153" s="699"/>
      <c r="L153" s="847"/>
      <c r="M153" s="818"/>
    </row>
    <row r="154" spans="1:13" ht="9.75" customHeight="1">
      <c r="A154" s="850"/>
      <c r="B154" s="824"/>
      <c r="C154" s="824"/>
      <c r="D154" s="825"/>
      <c r="E154" s="824"/>
      <c r="F154" s="826"/>
      <c r="G154" s="826"/>
      <c r="H154" s="844"/>
      <c r="I154" s="847"/>
      <c r="J154" s="847"/>
      <c r="K154" s="699"/>
      <c r="L154" s="847"/>
      <c r="M154" s="818"/>
    </row>
    <row r="155" spans="1:13" ht="18">
      <c r="A155" s="1246" t="s">
        <v>1834</v>
      </c>
      <c r="B155" s="1247"/>
      <c r="C155" s="1247"/>
      <c r="D155" s="851"/>
      <c r="E155" s="852"/>
      <c r="F155" s="779"/>
      <c r="G155" s="779"/>
      <c r="H155" s="853"/>
      <c r="I155" s="56"/>
      <c r="J155" s="56"/>
      <c r="K155" s="56"/>
      <c r="L155" s="56"/>
      <c r="M155" s="744"/>
    </row>
    <row r="156" spans="1:13" ht="11.25" customHeight="1">
      <c r="A156" s="854"/>
      <c r="B156" s="836"/>
      <c r="C156" s="838"/>
      <c r="D156" s="837"/>
      <c r="E156" s="838"/>
      <c r="F156" s="839"/>
      <c r="G156" s="839"/>
      <c r="H156" s="791"/>
      <c r="I156" s="56"/>
      <c r="J156" s="56"/>
      <c r="K156" s="56"/>
      <c r="L156" s="56"/>
      <c r="M156" s="744"/>
    </row>
    <row r="157" spans="1:13" ht="40.5" customHeight="1">
      <c r="A157" s="1228" t="s">
        <v>1835</v>
      </c>
      <c r="B157" s="855"/>
      <c r="C157" s="855" t="s">
        <v>1136</v>
      </c>
      <c r="D157" s="808"/>
      <c r="E157" s="803"/>
      <c r="F157" s="768"/>
      <c r="G157" s="768"/>
      <c r="H157" s="791"/>
      <c r="I157" s="56"/>
      <c r="J157" s="56"/>
      <c r="K157" s="56"/>
      <c r="L157" s="56"/>
      <c r="M157" s="744"/>
    </row>
    <row r="158" spans="1:13" ht="11.25" customHeight="1">
      <c r="A158" s="1229"/>
      <c r="B158" s="770"/>
      <c r="C158" s="771"/>
      <c r="D158" s="772"/>
      <c r="E158" s="771"/>
      <c r="F158" s="773"/>
      <c r="G158" s="773"/>
      <c r="H158" s="761"/>
      <c r="I158" s="56"/>
      <c r="J158" s="56"/>
      <c r="K158" s="56"/>
      <c r="L158" s="56"/>
      <c r="M158" s="744"/>
    </row>
    <row r="159" spans="1:13" ht="27.75" customHeight="1">
      <c r="A159" s="1229"/>
      <c r="B159" s="759" t="s">
        <v>1048</v>
      </c>
      <c r="C159" s="756" t="s">
        <v>1316</v>
      </c>
      <c r="D159" s="759" t="s">
        <v>1837</v>
      </c>
      <c r="E159" s="759" t="s">
        <v>1130</v>
      </c>
      <c r="F159" s="760">
        <v>120244</v>
      </c>
      <c r="G159" s="760">
        <v>127455</v>
      </c>
      <c r="H159" s="761">
        <f>(G159-F159)*100/F159</f>
        <v>5.996972821928745</v>
      </c>
      <c r="I159" s="56"/>
      <c r="J159" s="56"/>
      <c r="K159" s="56"/>
      <c r="L159" s="56"/>
      <c r="M159" s="744"/>
    </row>
    <row r="160" spans="1:13" ht="25.5" customHeight="1">
      <c r="A160" s="1229"/>
      <c r="B160" s="759" t="s">
        <v>1072</v>
      </c>
      <c r="C160" s="756" t="s">
        <v>1317</v>
      </c>
      <c r="D160" s="759" t="s">
        <v>1839</v>
      </c>
      <c r="E160" s="759" t="s">
        <v>1130</v>
      </c>
      <c r="F160" s="760">
        <v>173233</v>
      </c>
      <c r="G160" s="760">
        <v>182347</v>
      </c>
      <c r="H160" s="761">
        <f>(G160-F160)*100/F160</f>
        <v>5.261122303487211</v>
      </c>
      <c r="I160" s="56"/>
      <c r="J160" s="56"/>
      <c r="K160" s="56"/>
      <c r="L160" s="56"/>
      <c r="M160" s="744"/>
    </row>
    <row r="161" spans="1:13" ht="37.5" customHeight="1">
      <c r="A161" s="1229"/>
      <c r="B161" s="759" t="s">
        <v>1693</v>
      </c>
      <c r="C161" s="756" t="s">
        <v>1840</v>
      </c>
      <c r="D161" s="759" t="s">
        <v>1841</v>
      </c>
      <c r="E161" s="759" t="s">
        <v>1130</v>
      </c>
      <c r="F161" s="760">
        <v>267661</v>
      </c>
      <c r="G161" s="760">
        <v>269627</v>
      </c>
      <c r="H161" s="761">
        <f>(G161-F161)*100/F161</f>
        <v>0.7345111913950856</v>
      </c>
      <c r="I161" s="56"/>
      <c r="J161" s="56"/>
      <c r="K161" s="56"/>
      <c r="L161" s="56"/>
      <c r="M161" s="744"/>
    </row>
    <row r="162" spans="1:13" ht="39" customHeight="1">
      <c r="A162" s="1230"/>
      <c r="B162" s="759" t="s">
        <v>1695</v>
      </c>
      <c r="C162" s="756" t="s">
        <v>1137</v>
      </c>
      <c r="D162" s="759" t="s">
        <v>1457</v>
      </c>
      <c r="E162" s="759" t="s">
        <v>1130</v>
      </c>
      <c r="F162" s="760">
        <v>407112</v>
      </c>
      <c r="G162" s="760">
        <v>411174</v>
      </c>
      <c r="H162" s="761">
        <f>(G162-F162)*100/F162</f>
        <v>0.9977598302187113</v>
      </c>
      <c r="I162" s="56"/>
      <c r="J162" s="56"/>
      <c r="K162" s="56"/>
      <c r="L162" s="56"/>
      <c r="M162" s="744"/>
    </row>
    <row r="163" spans="1:13" ht="9.75" customHeight="1">
      <c r="A163" s="759"/>
      <c r="B163" s="762"/>
      <c r="C163" s="743"/>
      <c r="D163" s="763"/>
      <c r="E163" s="743"/>
      <c r="F163" s="764"/>
      <c r="G163" s="764"/>
      <c r="H163" s="761"/>
      <c r="I163" s="56"/>
      <c r="J163" s="56"/>
      <c r="K163" s="56"/>
      <c r="L163" s="56"/>
      <c r="M163" s="744"/>
    </row>
    <row r="164" spans="1:13" ht="40.5" customHeight="1">
      <c r="A164" s="1228" t="s">
        <v>1458</v>
      </c>
      <c r="B164" s="756"/>
      <c r="C164" s="855" t="s">
        <v>1136</v>
      </c>
      <c r="D164" s="808"/>
      <c r="E164" s="803"/>
      <c r="F164" s="768"/>
      <c r="G164" s="768"/>
      <c r="H164" s="761"/>
      <c r="I164" s="56"/>
      <c r="J164" s="56"/>
      <c r="K164" s="56"/>
      <c r="L164" s="56"/>
      <c r="M164" s="744"/>
    </row>
    <row r="165" spans="1:13" ht="37.5" customHeight="1">
      <c r="A165" s="1229"/>
      <c r="B165" s="759" t="s">
        <v>1048</v>
      </c>
      <c r="C165" s="756" t="s">
        <v>1459</v>
      </c>
      <c r="D165" s="749" t="s">
        <v>1460</v>
      </c>
      <c r="E165" s="749" t="s">
        <v>1130</v>
      </c>
      <c r="F165" s="821">
        <v>156903</v>
      </c>
      <c r="G165" s="821">
        <v>163164</v>
      </c>
      <c r="H165" s="761">
        <f>(G165-F165)*100/F165</f>
        <v>3.990363472973748</v>
      </c>
      <c r="I165" s="56"/>
      <c r="J165" s="56"/>
      <c r="K165" s="56"/>
      <c r="L165" s="56"/>
      <c r="M165" s="744"/>
    </row>
    <row r="166" spans="1:13" ht="37.5" customHeight="1">
      <c r="A166" s="1229"/>
      <c r="B166" s="759" t="s">
        <v>1072</v>
      </c>
      <c r="C166" s="756" t="s">
        <v>1461</v>
      </c>
      <c r="D166" s="759" t="s">
        <v>1462</v>
      </c>
      <c r="E166" s="759" t="s">
        <v>1130</v>
      </c>
      <c r="F166" s="760">
        <v>209893</v>
      </c>
      <c r="G166" s="760">
        <v>218056</v>
      </c>
      <c r="H166" s="761">
        <f>(G166-F166)*100/F166</f>
        <v>3.8891244586527423</v>
      </c>
      <c r="I166" s="56"/>
      <c r="J166" s="56"/>
      <c r="K166" s="56"/>
      <c r="L166" s="56"/>
      <c r="M166" s="744"/>
    </row>
    <row r="167" spans="1:13" ht="38.25" customHeight="1">
      <c r="A167" s="1229"/>
      <c r="B167" s="759" t="s">
        <v>1693</v>
      </c>
      <c r="C167" s="756" t="s">
        <v>1463</v>
      </c>
      <c r="D167" s="759" t="s">
        <v>1464</v>
      </c>
      <c r="E167" s="759" t="s">
        <v>1130</v>
      </c>
      <c r="F167" s="760">
        <v>267132</v>
      </c>
      <c r="G167" s="760">
        <v>269237</v>
      </c>
      <c r="H167" s="761">
        <f>(G167-F167)*100/F167</f>
        <v>0.7879999401045176</v>
      </c>
      <c r="I167" s="56"/>
      <c r="J167" s="56"/>
      <c r="K167" s="56"/>
      <c r="L167" s="56"/>
      <c r="M167" s="744"/>
    </row>
    <row r="168" spans="1:13" ht="40.5" customHeight="1">
      <c r="A168" s="1230"/>
      <c r="B168" s="746" t="s">
        <v>1695</v>
      </c>
      <c r="C168" s="782" t="s">
        <v>1139</v>
      </c>
      <c r="D168" s="1177" t="s">
        <v>1140</v>
      </c>
      <c r="E168" s="746" t="s">
        <v>1130</v>
      </c>
      <c r="F168" s="783">
        <v>407149</v>
      </c>
      <c r="G168" s="783">
        <v>411403</v>
      </c>
      <c r="H168" s="761">
        <f>(G168-F168)*100/F168</f>
        <v>1.0448263412166061</v>
      </c>
      <c r="I168" s="56"/>
      <c r="J168" s="56"/>
      <c r="K168" s="56"/>
      <c r="L168" s="56"/>
      <c r="M168" s="744"/>
    </row>
    <row r="169" spans="1:13" ht="9.75" customHeight="1">
      <c r="A169" s="759"/>
      <c r="B169" s="799"/>
      <c r="C169" s="801"/>
      <c r="D169" s="800"/>
      <c r="E169" s="801"/>
      <c r="F169" s="802"/>
      <c r="G169" s="802"/>
      <c r="H169" s="761"/>
      <c r="I169" s="56"/>
      <c r="J169" s="56"/>
      <c r="K169" s="56"/>
      <c r="L169" s="56"/>
      <c r="M169" s="744"/>
    </row>
    <row r="170" spans="1:13" ht="75.75" customHeight="1">
      <c r="A170" s="1228" t="s">
        <v>1141</v>
      </c>
      <c r="B170" s="759"/>
      <c r="C170" s="756" t="s">
        <v>1142</v>
      </c>
      <c r="D170" s="856"/>
      <c r="E170" s="801"/>
      <c r="F170" s="802"/>
      <c r="G170" s="802"/>
      <c r="H170" s="761"/>
      <c r="I170" s="56"/>
      <c r="J170" s="56"/>
      <c r="K170" s="56"/>
      <c r="L170" s="56"/>
      <c r="M170" s="744"/>
    </row>
    <row r="171" spans="1:13" ht="37.5" customHeight="1">
      <c r="A171" s="1229"/>
      <c r="B171" s="759" t="s">
        <v>1048</v>
      </c>
      <c r="C171" s="756" t="s">
        <v>1459</v>
      </c>
      <c r="D171" s="759" t="s">
        <v>1143</v>
      </c>
      <c r="E171" s="759" t="s">
        <v>1130</v>
      </c>
      <c r="F171" s="760">
        <v>101422</v>
      </c>
      <c r="G171" s="760">
        <v>104012</v>
      </c>
      <c r="H171" s="761">
        <f>(G171-F171)*100/F171</f>
        <v>2.5536865768768116</v>
      </c>
      <c r="I171" s="56"/>
      <c r="J171" s="56"/>
      <c r="K171" s="56"/>
      <c r="L171" s="56"/>
      <c r="M171" s="744"/>
    </row>
    <row r="172" spans="1:13" ht="38.25" customHeight="1">
      <c r="A172" s="1229"/>
      <c r="B172" s="759" t="s">
        <v>1072</v>
      </c>
      <c r="C172" s="756" t="s">
        <v>1144</v>
      </c>
      <c r="D172" s="759" t="s">
        <v>1145</v>
      </c>
      <c r="E172" s="759" t="s">
        <v>1130</v>
      </c>
      <c r="F172" s="760">
        <v>119646</v>
      </c>
      <c r="G172" s="760">
        <v>121859</v>
      </c>
      <c r="H172" s="761">
        <f>(G172-F172)*100/F172</f>
        <v>1.8496230546779666</v>
      </c>
      <c r="I172" s="56"/>
      <c r="J172" s="56"/>
      <c r="K172" s="56"/>
      <c r="L172" s="56"/>
      <c r="M172" s="744"/>
    </row>
    <row r="173" spans="1:13" ht="38.25" customHeight="1">
      <c r="A173" s="1229"/>
      <c r="B173" s="759" t="s">
        <v>1693</v>
      </c>
      <c r="C173" s="756" t="s">
        <v>221</v>
      </c>
      <c r="D173" s="759" t="s">
        <v>222</v>
      </c>
      <c r="E173" s="759" t="s">
        <v>1130</v>
      </c>
      <c r="F173" s="760">
        <v>137261</v>
      </c>
      <c r="G173" s="760">
        <v>139468</v>
      </c>
      <c r="H173" s="761">
        <f>(G173-F173)*100/F173</f>
        <v>1.6078857067921697</v>
      </c>
      <c r="I173" s="56"/>
      <c r="J173" s="56"/>
      <c r="K173" s="56"/>
      <c r="L173" s="56"/>
      <c r="M173" s="744"/>
    </row>
    <row r="174" spans="1:13" ht="39" customHeight="1">
      <c r="A174" s="1230"/>
      <c r="B174" s="759" t="s">
        <v>1695</v>
      </c>
      <c r="C174" s="756" t="s">
        <v>223</v>
      </c>
      <c r="D174" s="759" t="s">
        <v>224</v>
      </c>
      <c r="E174" s="759" t="s">
        <v>1130</v>
      </c>
      <c r="F174" s="760">
        <v>168055</v>
      </c>
      <c r="G174" s="760">
        <v>170788</v>
      </c>
      <c r="H174" s="761">
        <f>(G174-F174)*100/F174</f>
        <v>1.6262533099282972</v>
      </c>
      <c r="I174" s="56"/>
      <c r="J174" s="56"/>
      <c r="K174" s="56"/>
      <c r="L174" s="56"/>
      <c r="M174" s="744"/>
    </row>
    <row r="175" spans="1:13" ht="11.25" customHeight="1">
      <c r="A175" s="759"/>
      <c r="B175" s="857"/>
      <c r="C175" s="858"/>
      <c r="D175" s="859"/>
      <c r="E175" s="858"/>
      <c r="F175" s="839"/>
      <c r="G175" s="839"/>
      <c r="H175" s="761"/>
      <c r="I175" s="56"/>
      <c r="J175" s="56"/>
      <c r="K175" s="56"/>
      <c r="L175" s="56"/>
      <c r="M175" s="744"/>
    </row>
    <row r="176" spans="1:13" ht="36">
      <c r="A176" s="1228" t="s">
        <v>225</v>
      </c>
      <c r="B176" s="759"/>
      <c r="C176" s="756" t="s">
        <v>226</v>
      </c>
      <c r="D176" s="856"/>
      <c r="E176" s="801"/>
      <c r="F176" s="802"/>
      <c r="G176" s="802"/>
      <c r="H176" s="761"/>
      <c r="I176" s="56"/>
      <c r="J176" s="56"/>
      <c r="K176" s="56"/>
      <c r="L176" s="56"/>
      <c r="M176" s="744"/>
    </row>
    <row r="177" spans="1:13" ht="37.5" customHeight="1">
      <c r="A177" s="1229"/>
      <c r="B177" s="759" t="s">
        <v>1048</v>
      </c>
      <c r="C177" s="756" t="s">
        <v>227</v>
      </c>
      <c r="D177" s="759" t="s">
        <v>228</v>
      </c>
      <c r="E177" s="759" t="s">
        <v>1130</v>
      </c>
      <c r="F177" s="821">
        <v>23315</v>
      </c>
      <c r="G177" s="821">
        <v>23299</v>
      </c>
      <c r="H177" s="761">
        <f>(G177-F177)*100/F177</f>
        <v>-0.06862534848809779</v>
      </c>
      <c r="I177" s="56"/>
      <c r="J177" s="56"/>
      <c r="K177" s="56"/>
      <c r="L177" s="56"/>
      <c r="M177" s="744"/>
    </row>
    <row r="178" spans="1:13" ht="37.5" customHeight="1">
      <c r="A178" s="1229"/>
      <c r="B178" s="759" t="s">
        <v>1072</v>
      </c>
      <c r="C178" s="756" t="s">
        <v>229</v>
      </c>
      <c r="D178" s="759" t="s">
        <v>230</v>
      </c>
      <c r="E178" s="759" t="s">
        <v>1130</v>
      </c>
      <c r="F178" s="821">
        <v>38803</v>
      </c>
      <c r="G178" s="821">
        <v>39399</v>
      </c>
      <c r="H178" s="761">
        <f>(G178-F178)*100/F178</f>
        <v>1.5359637141458136</v>
      </c>
      <c r="I178" s="56"/>
      <c r="J178" s="56"/>
      <c r="K178" s="56"/>
      <c r="L178" s="56"/>
      <c r="M178" s="744"/>
    </row>
    <row r="179" spans="1:13" ht="37.5" customHeight="1">
      <c r="A179" s="1229"/>
      <c r="B179" s="759" t="s">
        <v>1693</v>
      </c>
      <c r="C179" s="756" t="s">
        <v>231</v>
      </c>
      <c r="D179" s="759" t="s">
        <v>232</v>
      </c>
      <c r="E179" s="759" t="s">
        <v>1130</v>
      </c>
      <c r="F179" s="821">
        <v>48130</v>
      </c>
      <c r="G179" s="821">
        <v>48779</v>
      </c>
      <c r="H179" s="761">
        <f>(G179-F179)*100/F179</f>
        <v>1.348431331809682</v>
      </c>
      <c r="I179" s="56"/>
      <c r="J179" s="56"/>
      <c r="K179" s="56"/>
      <c r="L179" s="56"/>
      <c r="M179" s="744"/>
    </row>
    <row r="180" spans="1:13" ht="37.5" customHeight="1">
      <c r="A180" s="1229"/>
      <c r="B180" s="759" t="s">
        <v>1695</v>
      </c>
      <c r="C180" s="756" t="s">
        <v>233</v>
      </c>
      <c r="D180" s="759" t="s">
        <v>234</v>
      </c>
      <c r="E180" s="759" t="s">
        <v>1130</v>
      </c>
      <c r="F180" s="821">
        <v>77944</v>
      </c>
      <c r="G180" s="821">
        <v>79053</v>
      </c>
      <c r="H180" s="761">
        <f>(G180-F180)*100/F180</f>
        <v>1.4228163809914811</v>
      </c>
      <c r="I180" s="56"/>
      <c r="J180" s="56"/>
      <c r="K180" s="56"/>
      <c r="L180" s="56"/>
      <c r="M180" s="744"/>
    </row>
    <row r="181" spans="1:13" ht="39" customHeight="1">
      <c r="A181" s="1230"/>
      <c r="B181" s="746" t="s">
        <v>1697</v>
      </c>
      <c r="C181" s="782" t="s">
        <v>235</v>
      </c>
      <c r="D181" s="746" t="s">
        <v>236</v>
      </c>
      <c r="E181" s="746" t="s">
        <v>1130</v>
      </c>
      <c r="F181" s="828">
        <v>89934</v>
      </c>
      <c r="G181" s="828">
        <v>91550</v>
      </c>
      <c r="H181" s="761">
        <f>(G181-F181)*100/F181</f>
        <v>1.7968732626148065</v>
      </c>
      <c r="I181" s="56"/>
      <c r="J181" s="56"/>
      <c r="K181" s="56"/>
      <c r="L181" s="56"/>
      <c r="M181" s="744"/>
    </row>
    <row r="182" spans="1:13" ht="9.75" customHeight="1">
      <c r="A182" s="759"/>
      <c r="B182" s="767"/>
      <c r="C182" s="803"/>
      <c r="D182" s="804"/>
      <c r="E182" s="803"/>
      <c r="F182" s="768"/>
      <c r="G182" s="768"/>
      <c r="H182" s="761"/>
      <c r="I182" s="56"/>
      <c r="J182" s="56"/>
      <c r="K182" s="56"/>
      <c r="L182" s="56"/>
      <c r="M182" s="744"/>
    </row>
    <row r="183" spans="1:13" ht="39.75" customHeight="1">
      <c r="A183" s="1232" t="s">
        <v>237</v>
      </c>
      <c r="B183" s="749"/>
      <c r="C183" s="860" t="s">
        <v>1138</v>
      </c>
      <c r="D183" s="808"/>
      <c r="E183" s="803"/>
      <c r="F183" s="768"/>
      <c r="G183" s="768"/>
      <c r="H183" s="761"/>
      <c r="I183" s="56"/>
      <c r="J183" s="56"/>
      <c r="K183" s="56"/>
      <c r="L183" s="56"/>
      <c r="M183" s="744"/>
    </row>
    <row r="184" spans="1:13" ht="25.5" customHeight="1">
      <c r="A184" s="1232"/>
      <c r="B184" s="759" t="s">
        <v>1048</v>
      </c>
      <c r="C184" s="756" t="s">
        <v>1836</v>
      </c>
      <c r="D184" s="749" t="s">
        <v>238</v>
      </c>
      <c r="E184" s="749" t="s">
        <v>1130</v>
      </c>
      <c r="F184" s="821">
        <v>119614</v>
      </c>
      <c r="G184" s="821">
        <v>126281</v>
      </c>
      <c r="H184" s="761">
        <f aca="true" t="shared" si="0" ref="H184:H192">(G184-F184)*100/F184</f>
        <v>5.573762268630762</v>
      </c>
      <c r="I184" s="56"/>
      <c r="J184" s="56"/>
      <c r="K184" s="56"/>
      <c r="L184" s="56"/>
      <c r="M184" s="744"/>
    </row>
    <row r="185" spans="1:13" ht="26.25" customHeight="1">
      <c r="A185" s="1232"/>
      <c r="B185" s="759" t="s">
        <v>1072</v>
      </c>
      <c r="C185" s="756" t="s">
        <v>1838</v>
      </c>
      <c r="D185" s="759" t="s">
        <v>239</v>
      </c>
      <c r="E185" s="759" t="s">
        <v>1130</v>
      </c>
      <c r="F185" s="760">
        <v>170668</v>
      </c>
      <c r="G185" s="760">
        <v>180503</v>
      </c>
      <c r="H185" s="761">
        <f t="shared" si="0"/>
        <v>5.762650291794595</v>
      </c>
      <c r="I185" s="56"/>
      <c r="J185" s="56"/>
      <c r="K185" s="56"/>
      <c r="L185" s="56"/>
      <c r="M185" s="744"/>
    </row>
    <row r="186" spans="1:13" ht="36">
      <c r="A186" s="1232"/>
      <c r="B186" s="759" t="s">
        <v>1693</v>
      </c>
      <c r="C186" s="756" t="s">
        <v>1840</v>
      </c>
      <c r="D186" s="759" t="s">
        <v>240</v>
      </c>
      <c r="E186" s="759" t="s">
        <v>1130</v>
      </c>
      <c r="F186" s="760">
        <v>262842</v>
      </c>
      <c r="G186" s="760">
        <v>265009</v>
      </c>
      <c r="H186" s="761">
        <f t="shared" si="0"/>
        <v>0.8244496693831275</v>
      </c>
      <c r="I186" s="56"/>
      <c r="J186" s="56"/>
      <c r="K186" s="56"/>
      <c r="L186" s="56"/>
      <c r="M186" s="744"/>
    </row>
    <row r="187" spans="1:13" ht="42" customHeight="1">
      <c r="A187" s="1232"/>
      <c r="B187" s="759" t="s">
        <v>1695</v>
      </c>
      <c r="C187" s="756" t="s">
        <v>1137</v>
      </c>
      <c r="D187" s="759" t="s">
        <v>241</v>
      </c>
      <c r="E187" s="759" t="s">
        <v>1130</v>
      </c>
      <c r="F187" s="760">
        <v>395784</v>
      </c>
      <c r="G187" s="760">
        <v>399951</v>
      </c>
      <c r="H187" s="761">
        <f t="shared" si="0"/>
        <v>1.0528470074586138</v>
      </c>
      <c r="I187" s="56"/>
      <c r="J187" s="56"/>
      <c r="K187" s="56"/>
      <c r="L187" s="56"/>
      <c r="M187" s="744"/>
    </row>
    <row r="188" spans="1:13" ht="9.75" customHeight="1">
      <c r="A188" s="925"/>
      <c r="B188" s="759"/>
      <c r="C188" s="756"/>
      <c r="D188" s="759"/>
      <c r="E188" s="759"/>
      <c r="F188" s="760"/>
      <c r="G188" s="760"/>
      <c r="H188" s="761"/>
      <c r="I188" s="56"/>
      <c r="J188" s="56"/>
      <c r="K188" s="56"/>
      <c r="L188" s="56"/>
      <c r="M188" s="744"/>
    </row>
    <row r="189" spans="1:13" ht="39" customHeight="1">
      <c r="A189" s="1232" t="s">
        <v>242</v>
      </c>
      <c r="B189" s="759" t="s">
        <v>1697</v>
      </c>
      <c r="C189" s="756" t="s">
        <v>1459</v>
      </c>
      <c r="D189" s="759" t="s">
        <v>1629</v>
      </c>
      <c r="E189" s="759" t="s">
        <v>1130</v>
      </c>
      <c r="F189" s="760">
        <v>156272</v>
      </c>
      <c r="G189" s="760">
        <v>161988</v>
      </c>
      <c r="H189" s="761">
        <f t="shared" si="0"/>
        <v>3.6577249923210813</v>
      </c>
      <c r="I189" s="56"/>
      <c r="J189" s="56"/>
      <c r="K189" s="56"/>
      <c r="L189" s="56"/>
      <c r="M189" s="744"/>
    </row>
    <row r="190" spans="1:13" ht="38.25" customHeight="1">
      <c r="A190" s="1232"/>
      <c r="B190" s="759" t="s">
        <v>1699</v>
      </c>
      <c r="C190" s="756" t="s">
        <v>1144</v>
      </c>
      <c r="D190" s="759" t="s">
        <v>1630</v>
      </c>
      <c r="E190" s="759" t="s">
        <v>1130</v>
      </c>
      <c r="F190" s="760">
        <v>207327</v>
      </c>
      <c r="G190" s="760">
        <v>216210</v>
      </c>
      <c r="H190" s="761">
        <f t="shared" si="0"/>
        <v>4.284536022804555</v>
      </c>
      <c r="I190" s="56"/>
      <c r="J190" s="56"/>
      <c r="K190" s="56"/>
      <c r="L190" s="56"/>
      <c r="M190" s="744"/>
    </row>
    <row r="191" spans="1:13" ht="37.5" customHeight="1">
      <c r="A191" s="1232"/>
      <c r="B191" s="759" t="s">
        <v>1700</v>
      </c>
      <c r="C191" s="756" t="s">
        <v>1631</v>
      </c>
      <c r="D191" s="759" t="s">
        <v>1632</v>
      </c>
      <c r="E191" s="759" t="s">
        <v>1130</v>
      </c>
      <c r="F191" s="760">
        <v>262813</v>
      </c>
      <c r="G191" s="760">
        <v>265105</v>
      </c>
      <c r="H191" s="761">
        <f t="shared" si="0"/>
        <v>0.8721029781631807</v>
      </c>
      <c r="I191" s="56"/>
      <c r="J191" s="56"/>
      <c r="K191" s="56"/>
      <c r="L191" s="56"/>
      <c r="M191" s="744"/>
    </row>
    <row r="192" spans="1:13" ht="39" customHeight="1">
      <c r="A192" s="1232"/>
      <c r="B192" s="759" t="s">
        <v>1703</v>
      </c>
      <c r="C192" s="756" t="s">
        <v>1633</v>
      </c>
      <c r="D192" s="759" t="s">
        <v>1634</v>
      </c>
      <c r="E192" s="759" t="s">
        <v>1130</v>
      </c>
      <c r="F192" s="760">
        <v>396322</v>
      </c>
      <c r="G192" s="760">
        <v>400666</v>
      </c>
      <c r="H192" s="761">
        <f t="shared" si="0"/>
        <v>1.0960784412674542</v>
      </c>
      <c r="I192" s="56"/>
      <c r="J192" s="56"/>
      <c r="K192" s="56"/>
      <c r="L192" s="56"/>
      <c r="M192" s="744"/>
    </row>
    <row r="193" spans="1:13" ht="9.75" customHeight="1">
      <c r="A193" s="925"/>
      <c r="B193" s="759"/>
      <c r="C193" s="756"/>
      <c r="D193" s="759"/>
      <c r="E193" s="759"/>
      <c r="F193" s="760"/>
      <c r="G193" s="760"/>
      <c r="H193" s="761"/>
      <c r="I193" s="56"/>
      <c r="J193" s="56"/>
      <c r="K193" s="56"/>
      <c r="L193" s="56"/>
      <c r="M193" s="744"/>
    </row>
    <row r="194" spans="1:13" ht="54">
      <c r="A194" s="1228" t="s">
        <v>1261</v>
      </c>
      <c r="B194" s="759"/>
      <c r="C194" s="855" t="s">
        <v>1635</v>
      </c>
      <c r="D194" s="861"/>
      <c r="E194" s="758"/>
      <c r="F194" s="775"/>
      <c r="G194" s="775"/>
      <c r="H194" s="761"/>
      <c r="I194" s="56"/>
      <c r="J194" s="56"/>
      <c r="K194" s="56"/>
      <c r="L194" s="56"/>
      <c r="M194" s="744"/>
    </row>
    <row r="195" spans="1:13" ht="18.75" customHeight="1">
      <c r="A195" s="1229"/>
      <c r="B195" s="759" t="s">
        <v>1048</v>
      </c>
      <c r="C195" s="756" t="s">
        <v>1735</v>
      </c>
      <c r="D195" s="759" t="s">
        <v>1636</v>
      </c>
      <c r="E195" s="759" t="s">
        <v>1130</v>
      </c>
      <c r="F195" s="760">
        <v>129272</v>
      </c>
      <c r="G195" s="760">
        <v>139612</v>
      </c>
      <c r="H195" s="761">
        <f>(G195-F195)*100/F195</f>
        <v>7.998638529611981</v>
      </c>
      <c r="I195" s="56"/>
      <c r="J195" s="190"/>
      <c r="K195" s="56"/>
      <c r="L195" s="56"/>
      <c r="M195" s="744"/>
    </row>
    <row r="196" spans="1:13" ht="18.75" customHeight="1">
      <c r="A196" s="1229"/>
      <c r="B196" s="759" t="s">
        <v>1072</v>
      </c>
      <c r="C196" s="756" t="s">
        <v>1736</v>
      </c>
      <c r="D196" s="759" t="s">
        <v>1637</v>
      </c>
      <c r="E196" s="759" t="s">
        <v>1130</v>
      </c>
      <c r="F196" s="760">
        <v>224538</v>
      </c>
      <c r="G196" s="760">
        <v>228275</v>
      </c>
      <c r="H196" s="761">
        <f>(G196-F196)*100/F196</f>
        <v>1.664306264418495</v>
      </c>
      <c r="I196" s="56"/>
      <c r="J196" s="190"/>
      <c r="K196" s="56"/>
      <c r="L196" s="56"/>
      <c r="M196" s="744"/>
    </row>
    <row r="197" spans="1:13" ht="18.75" customHeight="1">
      <c r="A197" s="1230"/>
      <c r="B197" s="759" t="s">
        <v>1693</v>
      </c>
      <c r="C197" s="756" t="s">
        <v>1737</v>
      </c>
      <c r="D197" s="759" t="s">
        <v>1638</v>
      </c>
      <c r="E197" s="759" t="s">
        <v>1130</v>
      </c>
      <c r="F197" s="760">
        <v>366277</v>
      </c>
      <c r="G197" s="760">
        <v>372427</v>
      </c>
      <c r="H197" s="761">
        <f>(G197-F197)*100/F197</f>
        <v>1.6790571070528588</v>
      </c>
      <c r="I197" s="56"/>
      <c r="J197" s="190"/>
      <c r="K197" s="56"/>
      <c r="L197" s="56"/>
      <c r="M197" s="744"/>
    </row>
    <row r="198" spans="1:13" ht="36">
      <c r="A198" s="774" t="s">
        <v>1267</v>
      </c>
      <c r="B198" s="759" t="s">
        <v>1048</v>
      </c>
      <c r="C198" s="756" t="s">
        <v>1639</v>
      </c>
      <c r="D198" s="759" t="s">
        <v>1640</v>
      </c>
      <c r="E198" s="759" t="s">
        <v>1130</v>
      </c>
      <c r="F198" s="760">
        <v>115010</v>
      </c>
      <c r="G198" s="760">
        <v>121647</v>
      </c>
      <c r="H198" s="761">
        <f>(G198-F198)*100/F198</f>
        <v>5.77080253890966</v>
      </c>
      <c r="I198" s="56"/>
      <c r="J198" s="190"/>
      <c r="K198" s="56"/>
      <c r="L198" s="56"/>
      <c r="M198" s="744"/>
    </row>
    <row r="199" spans="1:13" ht="36">
      <c r="A199" s="774" t="s">
        <v>1273</v>
      </c>
      <c r="B199" s="759" t="s">
        <v>1072</v>
      </c>
      <c r="C199" s="756" t="s">
        <v>1641</v>
      </c>
      <c r="D199" s="759" t="s">
        <v>1642</v>
      </c>
      <c r="E199" s="759" t="s">
        <v>1130</v>
      </c>
      <c r="F199" s="760">
        <v>98892</v>
      </c>
      <c r="G199" s="760">
        <v>102238</v>
      </c>
      <c r="H199" s="761">
        <f>(G199-F199)*100/F199</f>
        <v>3.3834890587711848</v>
      </c>
      <c r="I199" s="56"/>
      <c r="J199" s="190"/>
      <c r="K199" s="56"/>
      <c r="L199" s="56"/>
      <c r="M199" s="744"/>
    </row>
    <row r="200" spans="1:13" ht="54">
      <c r="A200" s="1228" t="s">
        <v>1519</v>
      </c>
      <c r="B200" s="759"/>
      <c r="C200" s="855" t="s">
        <v>1643</v>
      </c>
      <c r="D200" s="861"/>
      <c r="E200" s="758"/>
      <c r="F200" s="775"/>
      <c r="G200" s="775"/>
      <c r="H200" s="761"/>
      <c r="I200" s="56"/>
      <c r="J200" s="56"/>
      <c r="K200" s="56"/>
      <c r="L200" s="56"/>
      <c r="M200" s="744"/>
    </row>
    <row r="201" spans="1:13" ht="18">
      <c r="A201" s="1229"/>
      <c r="B201" s="759" t="s">
        <v>1048</v>
      </c>
      <c r="C201" s="756" t="s">
        <v>1644</v>
      </c>
      <c r="D201" s="759" t="s">
        <v>1645</v>
      </c>
      <c r="E201" s="759" t="s">
        <v>1130</v>
      </c>
      <c r="F201" s="760">
        <v>73209</v>
      </c>
      <c r="G201" s="760">
        <v>75901</v>
      </c>
      <c r="H201" s="761">
        <f>(G201-F201)*100/F201</f>
        <v>3.67714352060539</v>
      </c>
      <c r="I201" s="56"/>
      <c r="J201" s="56"/>
      <c r="K201" s="56"/>
      <c r="L201" s="56"/>
      <c r="M201" s="744"/>
    </row>
    <row r="202" spans="1:13" ht="20.25">
      <c r="A202" s="1229"/>
      <c r="B202" s="759" t="s">
        <v>1072</v>
      </c>
      <c r="C202" s="756" t="s">
        <v>268</v>
      </c>
      <c r="D202" s="759" t="s">
        <v>269</v>
      </c>
      <c r="E202" s="759" t="s">
        <v>1130</v>
      </c>
      <c r="F202" s="760">
        <v>84741</v>
      </c>
      <c r="G202" s="760">
        <v>87719</v>
      </c>
      <c r="H202" s="761">
        <f>(G202-F202)*100/F202</f>
        <v>3.5142375001475084</v>
      </c>
      <c r="I202" s="56"/>
      <c r="J202" s="862"/>
      <c r="K202" s="862"/>
      <c r="L202" s="862"/>
      <c r="M202" s="862"/>
    </row>
    <row r="203" spans="1:13" ht="20.25">
      <c r="A203" s="1230"/>
      <c r="B203" s="759" t="s">
        <v>1693</v>
      </c>
      <c r="C203" s="756" t="s">
        <v>270</v>
      </c>
      <c r="D203" s="759" t="s">
        <v>819</v>
      </c>
      <c r="E203" s="759" t="s">
        <v>1130</v>
      </c>
      <c r="F203" s="760">
        <v>93171</v>
      </c>
      <c r="G203" s="760">
        <v>99528</v>
      </c>
      <c r="H203" s="761">
        <f>(G203-F203)*100/F203</f>
        <v>6.822938467978234</v>
      </c>
      <c r="I203" s="56"/>
      <c r="J203" s="862"/>
      <c r="K203" s="862"/>
      <c r="L203" s="862"/>
      <c r="M203" s="862"/>
    </row>
    <row r="204" spans="1:13" ht="36">
      <c r="A204" s="1228" t="s">
        <v>1740</v>
      </c>
      <c r="B204" s="759"/>
      <c r="C204" s="855" t="s">
        <v>820</v>
      </c>
      <c r="D204" s="863"/>
      <c r="E204" s="758"/>
      <c r="F204" s="864"/>
      <c r="G204" s="864"/>
      <c r="H204" s="761"/>
      <c r="I204" s="56"/>
      <c r="J204" s="56"/>
      <c r="K204" s="56"/>
      <c r="L204" s="56"/>
      <c r="M204" s="744"/>
    </row>
    <row r="205" spans="1:13" ht="18">
      <c r="A205" s="1229"/>
      <c r="B205" s="759" t="s">
        <v>1048</v>
      </c>
      <c r="C205" s="756" t="s">
        <v>229</v>
      </c>
      <c r="D205" s="759" t="s">
        <v>821</v>
      </c>
      <c r="E205" s="759" t="s">
        <v>1130</v>
      </c>
      <c r="F205" s="760">
        <v>230146</v>
      </c>
      <c r="G205" s="760">
        <v>239699</v>
      </c>
      <c r="H205" s="761">
        <f>(G205-F205)*100/F205</f>
        <v>4.150843377681993</v>
      </c>
      <c r="I205" s="56"/>
      <c r="J205" s="56"/>
      <c r="K205" s="56"/>
      <c r="L205" s="56"/>
      <c r="M205" s="744"/>
    </row>
    <row r="206" spans="1:13" ht="18">
      <c r="A206" s="1229"/>
      <c r="B206" s="759" t="s">
        <v>1072</v>
      </c>
      <c r="C206" s="756" t="s">
        <v>231</v>
      </c>
      <c r="D206" s="759" t="s">
        <v>822</v>
      </c>
      <c r="E206" s="759" t="s">
        <v>1130</v>
      </c>
      <c r="F206" s="760">
        <v>285767</v>
      </c>
      <c r="G206" s="760">
        <v>289428</v>
      </c>
      <c r="H206" s="761">
        <f>(G206-F206)*100/F206</f>
        <v>1.2811136345344285</v>
      </c>
      <c r="I206" s="56"/>
      <c r="J206" s="56"/>
      <c r="K206" s="56"/>
      <c r="L206" s="56"/>
      <c r="M206" s="744"/>
    </row>
    <row r="207" spans="1:13" ht="18">
      <c r="A207" s="1230"/>
      <c r="B207" s="759" t="s">
        <v>1693</v>
      </c>
      <c r="C207" s="756" t="s">
        <v>233</v>
      </c>
      <c r="D207" s="759" t="s">
        <v>823</v>
      </c>
      <c r="E207" s="759" t="s">
        <v>1130</v>
      </c>
      <c r="F207" s="760">
        <v>455715</v>
      </c>
      <c r="G207" s="760">
        <v>460931</v>
      </c>
      <c r="H207" s="761">
        <f>(G207-F207)*100/F207</f>
        <v>1.1445750085031214</v>
      </c>
      <c r="I207" s="56"/>
      <c r="J207" s="56"/>
      <c r="K207" s="56"/>
      <c r="L207" s="56"/>
      <c r="M207" s="744"/>
    </row>
    <row r="208" spans="1:13" ht="9.75" customHeight="1">
      <c r="A208" s="865"/>
      <c r="B208" s="814"/>
      <c r="C208" s="815"/>
      <c r="D208" s="816"/>
      <c r="E208" s="815"/>
      <c r="F208" s="817"/>
      <c r="G208" s="817"/>
      <c r="H208" s="761"/>
      <c r="I208" s="847"/>
      <c r="J208" s="847"/>
      <c r="K208" s="847"/>
      <c r="L208" s="847"/>
      <c r="M208" s="818"/>
    </row>
    <row r="209" spans="1:13" ht="18">
      <c r="A209" s="1244" t="s">
        <v>824</v>
      </c>
      <c r="B209" s="1245"/>
      <c r="C209" s="1245"/>
      <c r="D209" s="752"/>
      <c r="E209" s="807"/>
      <c r="F209" s="802"/>
      <c r="G209" s="802"/>
      <c r="H209" s="761"/>
      <c r="I209" s="56"/>
      <c r="J209" s="56"/>
      <c r="K209" s="56"/>
      <c r="L209" s="56"/>
      <c r="M209" s="744"/>
    </row>
    <row r="210" spans="1:13" ht="54">
      <c r="A210" s="1228" t="s">
        <v>570</v>
      </c>
      <c r="B210" s="756"/>
      <c r="C210" s="855" t="s">
        <v>825</v>
      </c>
      <c r="D210" s="866"/>
      <c r="E210" s="807"/>
      <c r="F210" s="802"/>
      <c r="G210" s="802"/>
      <c r="H210" s="761"/>
      <c r="I210" s="56"/>
      <c r="J210" s="56"/>
      <c r="K210" s="56"/>
      <c r="L210" s="56"/>
      <c r="M210" s="744"/>
    </row>
    <row r="211" spans="1:13" ht="9.75" customHeight="1">
      <c r="A211" s="1229"/>
      <c r="B211" s="770"/>
      <c r="C211" s="771"/>
      <c r="D211" s="772"/>
      <c r="E211" s="771"/>
      <c r="F211" s="773"/>
      <c r="G211" s="773"/>
      <c r="H211" s="761"/>
      <c r="I211" s="56"/>
      <c r="J211" s="56"/>
      <c r="K211" s="56"/>
      <c r="L211" s="56"/>
      <c r="M211" s="744"/>
    </row>
    <row r="212" spans="1:13" ht="18">
      <c r="A212" s="1229"/>
      <c r="B212" s="759" t="s">
        <v>1048</v>
      </c>
      <c r="C212" s="756" t="s">
        <v>826</v>
      </c>
      <c r="D212" s="759" t="s">
        <v>827</v>
      </c>
      <c r="E212" s="759" t="s">
        <v>1257</v>
      </c>
      <c r="F212" s="760">
        <v>277022</v>
      </c>
      <c r="G212" s="760">
        <v>293526</v>
      </c>
      <c r="H212" s="761">
        <f>(G212-F212)*100/F212</f>
        <v>5.957649572958104</v>
      </c>
      <c r="I212" s="56"/>
      <c r="J212" s="56"/>
      <c r="K212" s="56"/>
      <c r="L212" s="56"/>
      <c r="M212" s="744"/>
    </row>
    <row r="213" spans="1:13" ht="18">
      <c r="A213" s="1229"/>
      <c r="B213" s="759" t="s">
        <v>1072</v>
      </c>
      <c r="C213" s="756" t="s">
        <v>828</v>
      </c>
      <c r="D213" s="759" t="s">
        <v>829</v>
      </c>
      <c r="E213" s="759" t="s">
        <v>1257</v>
      </c>
      <c r="F213" s="760">
        <v>255520</v>
      </c>
      <c r="G213" s="760">
        <v>270463</v>
      </c>
      <c r="H213" s="761">
        <f>(G213-F213)*100/F213</f>
        <v>5.8480745147150905</v>
      </c>
      <c r="I213" s="56"/>
      <c r="J213" s="56"/>
      <c r="K213" s="56"/>
      <c r="L213" s="56"/>
      <c r="M213" s="744"/>
    </row>
    <row r="214" spans="1:13" ht="18">
      <c r="A214" s="1229"/>
      <c r="B214" s="759" t="s">
        <v>1693</v>
      </c>
      <c r="C214" s="756" t="s">
        <v>830</v>
      </c>
      <c r="D214" s="759" t="s">
        <v>831</v>
      </c>
      <c r="E214" s="759" t="s">
        <v>1257</v>
      </c>
      <c r="F214" s="760">
        <v>221615</v>
      </c>
      <c r="G214" s="760">
        <v>233964</v>
      </c>
      <c r="H214" s="761">
        <f>(G214-F214)*100/F214</f>
        <v>5.572276244839022</v>
      </c>
      <c r="I214" s="56"/>
      <c r="J214" s="56"/>
      <c r="K214" s="56"/>
      <c r="L214" s="56"/>
      <c r="M214" s="744"/>
    </row>
    <row r="215" spans="1:13" ht="18">
      <c r="A215" s="1229"/>
      <c r="B215" s="759" t="s">
        <v>1695</v>
      </c>
      <c r="C215" s="756" t="s">
        <v>832</v>
      </c>
      <c r="D215" s="759" t="s">
        <v>833</v>
      </c>
      <c r="E215" s="759" t="s">
        <v>1257</v>
      </c>
      <c r="F215" s="760">
        <v>213965</v>
      </c>
      <c r="G215" s="760">
        <v>225792</v>
      </c>
      <c r="H215" s="761">
        <f>(G215-F215)*100/F215</f>
        <v>5.527539550861122</v>
      </c>
      <c r="I215" s="56"/>
      <c r="J215" s="56"/>
      <c r="K215" s="56"/>
      <c r="L215" s="56"/>
      <c r="M215" s="744"/>
    </row>
    <row r="216" spans="1:13" ht="18">
      <c r="A216" s="1230"/>
      <c r="B216" s="746" t="s">
        <v>1697</v>
      </c>
      <c r="C216" s="782" t="s">
        <v>834</v>
      </c>
      <c r="D216" s="746" t="s">
        <v>835</v>
      </c>
      <c r="E216" s="746" t="s">
        <v>1257</v>
      </c>
      <c r="F216" s="783">
        <v>191014</v>
      </c>
      <c r="G216" s="783">
        <v>201276</v>
      </c>
      <c r="H216" s="761">
        <f>(G216-F216)*100/F216</f>
        <v>5.372381082014931</v>
      </c>
      <c r="I216" s="56"/>
      <c r="J216" s="56"/>
      <c r="K216" s="56"/>
      <c r="L216" s="56"/>
      <c r="M216" s="744"/>
    </row>
    <row r="217" spans="1:13" ht="9.75" customHeight="1">
      <c r="A217" s="867"/>
      <c r="B217" s="830"/>
      <c r="C217" s="831"/>
      <c r="D217" s="868"/>
      <c r="E217" s="831"/>
      <c r="F217" s="869"/>
      <c r="G217" s="869"/>
      <c r="H217" s="761"/>
      <c r="I217" s="847"/>
      <c r="J217" s="847"/>
      <c r="K217" s="847"/>
      <c r="L217" s="847"/>
      <c r="M217" s="818"/>
    </row>
    <row r="218" spans="1:13" ht="54">
      <c r="A218" s="1228" t="s">
        <v>1261</v>
      </c>
      <c r="B218" s="756"/>
      <c r="C218" s="855" t="s">
        <v>836</v>
      </c>
      <c r="D218" s="866"/>
      <c r="E218" s="807"/>
      <c r="F218" s="802"/>
      <c r="G218" s="802"/>
      <c r="H218" s="761"/>
      <c r="I218" s="56"/>
      <c r="J218" s="56"/>
      <c r="K218" s="56"/>
      <c r="L218" s="56"/>
      <c r="M218" s="744"/>
    </row>
    <row r="219" spans="1:13" ht="9" customHeight="1">
      <c r="A219" s="1229"/>
      <c r="B219" s="770"/>
      <c r="C219" s="771"/>
      <c r="D219" s="772"/>
      <c r="E219" s="771"/>
      <c r="F219" s="773"/>
      <c r="G219" s="773"/>
      <c r="H219" s="761"/>
      <c r="I219" s="56"/>
      <c r="J219" s="56"/>
      <c r="K219" s="56"/>
      <c r="L219" s="56"/>
      <c r="M219" s="744"/>
    </row>
    <row r="220" spans="1:13" ht="18">
      <c r="A220" s="1229"/>
      <c r="B220" s="759" t="s">
        <v>1048</v>
      </c>
      <c r="C220" s="756" t="s">
        <v>837</v>
      </c>
      <c r="D220" s="759" t="s">
        <v>838</v>
      </c>
      <c r="E220" s="759" t="s">
        <v>1257</v>
      </c>
      <c r="F220" s="760">
        <v>236820</v>
      </c>
      <c r="G220" s="760">
        <v>250364</v>
      </c>
      <c r="H220" s="761">
        <f>(G220-F220)*100/F220</f>
        <v>5.71911156152352</v>
      </c>
      <c r="I220" s="56"/>
      <c r="J220" s="56"/>
      <c r="K220" s="56"/>
      <c r="L220" s="56"/>
      <c r="M220" s="744"/>
    </row>
    <row r="221" spans="1:13" ht="18">
      <c r="A221" s="1229"/>
      <c r="B221" s="759" t="s">
        <v>1072</v>
      </c>
      <c r="C221" s="756" t="s">
        <v>839</v>
      </c>
      <c r="D221" s="759" t="s">
        <v>840</v>
      </c>
      <c r="E221" s="759" t="s">
        <v>1257</v>
      </c>
      <c r="F221" s="760">
        <v>195265</v>
      </c>
      <c r="G221" s="760">
        <v>205693</v>
      </c>
      <c r="H221" s="761">
        <f>(G221-F221)*100/F221</f>
        <v>5.340434793741838</v>
      </c>
      <c r="I221" s="56"/>
      <c r="J221" s="56"/>
      <c r="K221" s="56"/>
      <c r="L221" s="56"/>
      <c r="M221" s="744"/>
    </row>
    <row r="222" spans="1:13" ht="18">
      <c r="A222" s="1230"/>
      <c r="B222" s="746" t="s">
        <v>1693</v>
      </c>
      <c r="C222" s="782" t="s">
        <v>841</v>
      </c>
      <c r="D222" s="746" t="s">
        <v>842</v>
      </c>
      <c r="E222" s="746" t="s">
        <v>1257</v>
      </c>
      <c r="F222" s="783">
        <v>172315</v>
      </c>
      <c r="G222" s="783">
        <v>181176</v>
      </c>
      <c r="H222" s="761">
        <f>(G222-F222)*100/F222</f>
        <v>5.142326553114935</v>
      </c>
      <c r="I222" s="56"/>
      <c r="J222" s="56"/>
      <c r="K222" s="56"/>
      <c r="L222" s="56"/>
      <c r="M222" s="744"/>
    </row>
    <row r="223" spans="1:13" ht="9.75" customHeight="1">
      <c r="A223" s="813"/>
      <c r="B223" s="830"/>
      <c r="C223" s="831"/>
      <c r="D223" s="832"/>
      <c r="E223" s="831"/>
      <c r="F223" s="833"/>
      <c r="G223" s="833"/>
      <c r="H223" s="761"/>
      <c r="I223" s="847"/>
      <c r="J223" s="847"/>
      <c r="K223" s="847"/>
      <c r="L223" s="847"/>
      <c r="M223" s="818"/>
    </row>
    <row r="224" spans="1:13" ht="54">
      <c r="A224" s="1235" t="s">
        <v>1267</v>
      </c>
      <c r="B224" s="756"/>
      <c r="C224" s="855" t="s">
        <v>843</v>
      </c>
      <c r="D224" s="866"/>
      <c r="E224" s="807"/>
      <c r="F224" s="802"/>
      <c r="G224" s="802"/>
      <c r="H224" s="761"/>
      <c r="I224" s="56"/>
      <c r="J224" s="56"/>
      <c r="K224" s="56"/>
      <c r="L224" s="56"/>
      <c r="M224" s="744"/>
    </row>
    <row r="225" spans="1:13" ht="9.75" customHeight="1">
      <c r="A225" s="1236"/>
      <c r="B225" s="770"/>
      <c r="C225" s="771"/>
      <c r="D225" s="772"/>
      <c r="E225" s="771"/>
      <c r="F225" s="773"/>
      <c r="G225" s="773"/>
      <c r="H225" s="761"/>
      <c r="I225" s="56"/>
      <c r="J225" s="56"/>
      <c r="K225" s="56"/>
      <c r="L225" s="56"/>
      <c r="M225" s="744"/>
    </row>
    <row r="226" spans="1:13" ht="18">
      <c r="A226" s="1236"/>
      <c r="B226" s="759" t="s">
        <v>1048</v>
      </c>
      <c r="C226" s="756" t="s">
        <v>844</v>
      </c>
      <c r="D226" s="759" t="s">
        <v>845</v>
      </c>
      <c r="E226" s="759" t="s">
        <v>1257</v>
      </c>
      <c r="F226" s="760">
        <v>182251</v>
      </c>
      <c r="G226" s="760">
        <v>191684</v>
      </c>
      <c r="H226" s="761">
        <f>(G226-F226)*100/F226</f>
        <v>5.17582893921021</v>
      </c>
      <c r="I226" s="56"/>
      <c r="J226" s="56"/>
      <c r="K226" s="56"/>
      <c r="L226" s="56"/>
      <c r="M226" s="744"/>
    </row>
    <row r="227" spans="1:13" ht="18">
      <c r="A227" s="1236"/>
      <c r="B227" s="759" t="s">
        <v>1072</v>
      </c>
      <c r="C227" s="756" t="s">
        <v>846</v>
      </c>
      <c r="D227" s="759" t="s">
        <v>847</v>
      </c>
      <c r="E227" s="759" t="s">
        <v>1257</v>
      </c>
      <c r="F227" s="760">
        <v>168399</v>
      </c>
      <c r="G227" s="760">
        <v>176794</v>
      </c>
      <c r="H227" s="761">
        <f>(G227-F227)*100/F227</f>
        <v>4.985183997529677</v>
      </c>
      <c r="I227" s="56"/>
      <c r="J227" s="56"/>
      <c r="K227" s="56"/>
      <c r="L227" s="56"/>
      <c r="M227" s="744"/>
    </row>
    <row r="228" spans="1:13" ht="18">
      <c r="A228" s="1237"/>
      <c r="B228" s="746" t="s">
        <v>1693</v>
      </c>
      <c r="C228" s="782" t="s">
        <v>848</v>
      </c>
      <c r="D228" s="746" t="s">
        <v>849</v>
      </c>
      <c r="E228" s="746" t="s">
        <v>1257</v>
      </c>
      <c r="F228" s="783">
        <v>153099</v>
      </c>
      <c r="G228" s="783">
        <v>160450</v>
      </c>
      <c r="H228" s="761">
        <f>(G228-F228)*100/F228</f>
        <v>4.801468330949255</v>
      </c>
      <c r="I228" s="56"/>
      <c r="J228" s="56"/>
      <c r="K228" s="56"/>
      <c r="L228" s="56"/>
      <c r="M228" s="744"/>
    </row>
    <row r="229" spans="1:13" ht="9.75" customHeight="1">
      <c r="A229" s="813"/>
      <c r="B229" s="830"/>
      <c r="C229" s="831"/>
      <c r="D229" s="832"/>
      <c r="E229" s="831"/>
      <c r="F229" s="833"/>
      <c r="G229" s="833"/>
      <c r="H229" s="761"/>
      <c r="I229" s="847"/>
      <c r="J229" s="847"/>
      <c r="K229" s="847"/>
      <c r="L229" s="847"/>
      <c r="M229" s="818"/>
    </row>
    <row r="230" spans="1:13" ht="58.5" customHeight="1">
      <c r="A230" s="774" t="s">
        <v>1273</v>
      </c>
      <c r="B230" s="827"/>
      <c r="C230" s="827" t="s">
        <v>1873</v>
      </c>
      <c r="D230" s="747" t="s">
        <v>1874</v>
      </c>
      <c r="E230" s="747" t="s">
        <v>1257</v>
      </c>
      <c r="F230" s="828">
        <v>424197</v>
      </c>
      <c r="G230" s="828">
        <v>438855</v>
      </c>
      <c r="H230" s="761">
        <f>(G230-F230)*100/F230</f>
        <v>3.45546998210737</v>
      </c>
      <c r="I230" s="56"/>
      <c r="J230" s="56"/>
      <c r="K230" s="56"/>
      <c r="L230" s="56"/>
      <c r="M230" s="744"/>
    </row>
    <row r="231" spans="1:13" ht="9.75" customHeight="1">
      <c r="A231" s="759"/>
      <c r="B231" s="767"/>
      <c r="C231" s="803"/>
      <c r="D231" s="804"/>
      <c r="E231" s="803"/>
      <c r="F231" s="768"/>
      <c r="G231" s="768"/>
      <c r="H231" s="761"/>
      <c r="I231" s="56"/>
      <c r="J231" s="56"/>
      <c r="K231" s="56"/>
      <c r="L231" s="56"/>
      <c r="M231" s="744"/>
    </row>
    <row r="232" spans="1:13" ht="60.75" customHeight="1">
      <c r="A232" s="774" t="s">
        <v>1519</v>
      </c>
      <c r="B232" s="827"/>
      <c r="C232" s="827" t="s">
        <v>1875</v>
      </c>
      <c r="D232" s="747" t="s">
        <v>1876</v>
      </c>
      <c r="E232" s="747" t="s">
        <v>1257</v>
      </c>
      <c r="F232" s="828">
        <v>452360</v>
      </c>
      <c r="G232" s="828">
        <v>469194</v>
      </c>
      <c r="H232" s="761">
        <f>(G232-F232)*100/F232</f>
        <v>3.7213723582987</v>
      </c>
      <c r="I232" s="56"/>
      <c r="J232" s="56"/>
      <c r="K232" s="56"/>
      <c r="L232" s="56"/>
      <c r="M232" s="744"/>
    </row>
    <row r="233" spans="1:13" ht="9.75" customHeight="1">
      <c r="A233" s="759"/>
      <c r="B233" s="767"/>
      <c r="C233" s="803"/>
      <c r="D233" s="804"/>
      <c r="E233" s="803"/>
      <c r="F233" s="768"/>
      <c r="G233" s="768"/>
      <c r="H233" s="761"/>
      <c r="I233" s="56"/>
      <c r="J233" s="56"/>
      <c r="K233" s="56"/>
      <c r="L233" s="56"/>
      <c r="M233" s="744"/>
    </row>
    <row r="234" spans="1:13" ht="57.75" customHeight="1">
      <c r="A234" s="1228" t="s">
        <v>1740</v>
      </c>
      <c r="B234" s="756"/>
      <c r="C234" s="855" t="s">
        <v>1877</v>
      </c>
      <c r="D234" s="866"/>
      <c r="E234" s="807"/>
      <c r="F234" s="802"/>
      <c r="G234" s="802"/>
      <c r="H234" s="761"/>
      <c r="I234" s="56"/>
      <c r="J234" s="56"/>
      <c r="K234" s="56"/>
      <c r="L234" s="56"/>
      <c r="M234" s="744"/>
    </row>
    <row r="235" spans="1:13" ht="9.75" customHeight="1">
      <c r="A235" s="1229"/>
      <c r="B235" s="767"/>
      <c r="C235" s="803"/>
      <c r="D235" s="804"/>
      <c r="E235" s="803"/>
      <c r="F235" s="768"/>
      <c r="G235" s="768"/>
      <c r="H235" s="761"/>
      <c r="I235" s="56"/>
      <c r="J235" s="56"/>
      <c r="K235" s="56"/>
      <c r="L235" s="56"/>
      <c r="M235" s="744"/>
    </row>
    <row r="236" spans="1:13" ht="18">
      <c r="A236" s="1229"/>
      <c r="B236" s="749" t="s">
        <v>1048</v>
      </c>
      <c r="C236" s="820" t="s">
        <v>844</v>
      </c>
      <c r="D236" s="749" t="s">
        <v>1878</v>
      </c>
      <c r="E236" s="749" t="s">
        <v>1257</v>
      </c>
      <c r="F236" s="821">
        <v>316294</v>
      </c>
      <c r="G236" s="821">
        <v>323308</v>
      </c>
      <c r="H236" s="761">
        <f>(G236-F236)*100/F236</f>
        <v>2.217557082967113</v>
      </c>
      <c r="I236" s="56"/>
      <c r="J236" s="56"/>
      <c r="K236" s="56"/>
      <c r="L236" s="56"/>
      <c r="M236" s="744"/>
    </row>
    <row r="237" spans="1:13" ht="18">
      <c r="A237" s="1229"/>
      <c r="B237" s="759" t="s">
        <v>1072</v>
      </c>
      <c r="C237" s="756" t="s">
        <v>846</v>
      </c>
      <c r="D237" s="759" t="s">
        <v>2152</v>
      </c>
      <c r="E237" s="759" t="s">
        <v>1257</v>
      </c>
      <c r="F237" s="760">
        <v>302442</v>
      </c>
      <c r="G237" s="760">
        <v>308418</v>
      </c>
      <c r="H237" s="761">
        <f>(G237-F237)*100/F237</f>
        <v>1.9759160434066696</v>
      </c>
      <c r="I237" s="56"/>
      <c r="J237" s="56"/>
      <c r="K237" s="56"/>
      <c r="L237" s="56"/>
      <c r="M237" s="744"/>
    </row>
    <row r="238" spans="1:13" ht="18">
      <c r="A238" s="1230"/>
      <c r="B238" s="746" t="s">
        <v>1693</v>
      </c>
      <c r="C238" s="782" t="s">
        <v>848</v>
      </c>
      <c r="D238" s="746" t="s">
        <v>2153</v>
      </c>
      <c r="E238" s="746" t="s">
        <v>1257</v>
      </c>
      <c r="F238" s="783">
        <v>287142</v>
      </c>
      <c r="G238" s="783">
        <v>292073</v>
      </c>
      <c r="H238" s="761">
        <f>(G238-F238)*100/F238</f>
        <v>1.7172688077675853</v>
      </c>
      <c r="I238" s="56"/>
      <c r="J238" s="56"/>
      <c r="K238" s="56"/>
      <c r="L238" s="56"/>
      <c r="M238" s="744"/>
    </row>
    <row r="239" spans="1:13" ht="9.75" customHeight="1">
      <c r="A239" s="759"/>
      <c r="B239" s="767"/>
      <c r="C239" s="803"/>
      <c r="D239" s="804"/>
      <c r="E239" s="803"/>
      <c r="F239" s="768"/>
      <c r="G239" s="768"/>
      <c r="H239" s="761"/>
      <c r="I239" s="56"/>
      <c r="J239" s="56"/>
      <c r="K239" s="56"/>
      <c r="L239" s="56"/>
      <c r="M239" s="744"/>
    </row>
    <row r="240" spans="1:13" ht="40.5" customHeight="1">
      <c r="A240" s="1232" t="s">
        <v>1743</v>
      </c>
      <c r="B240" s="759"/>
      <c r="C240" s="855" t="s">
        <v>2154</v>
      </c>
      <c r="D240" s="808"/>
      <c r="E240" s="803"/>
      <c r="F240" s="768"/>
      <c r="G240" s="768"/>
      <c r="H240" s="761"/>
      <c r="I240" s="56"/>
      <c r="J240" s="56"/>
      <c r="K240" s="56"/>
      <c r="L240" s="56"/>
      <c r="M240" s="744"/>
    </row>
    <row r="241" spans="1:13" ht="36">
      <c r="A241" s="1232"/>
      <c r="B241" s="749" t="s">
        <v>1048</v>
      </c>
      <c r="C241" s="820" t="s">
        <v>2155</v>
      </c>
      <c r="D241" s="749" t="s">
        <v>2156</v>
      </c>
      <c r="E241" s="749" t="s">
        <v>1257</v>
      </c>
      <c r="F241" s="821">
        <v>379647</v>
      </c>
      <c r="G241" s="821">
        <v>394195</v>
      </c>
      <c r="H241" s="761">
        <f>(G241-F241)*100/F241</f>
        <v>3.83198076107542</v>
      </c>
      <c r="I241" s="56"/>
      <c r="J241" s="56"/>
      <c r="K241" s="56"/>
      <c r="L241" s="56"/>
      <c r="M241" s="744"/>
    </row>
    <row r="242" spans="1:13" ht="36">
      <c r="A242" s="1232"/>
      <c r="B242" s="759" t="s">
        <v>1072</v>
      </c>
      <c r="C242" s="756" t="s">
        <v>1942</v>
      </c>
      <c r="D242" s="747" t="s">
        <v>2157</v>
      </c>
      <c r="E242" s="746" t="s">
        <v>1257</v>
      </c>
      <c r="F242" s="783">
        <v>317955</v>
      </c>
      <c r="G242" s="783">
        <v>329894</v>
      </c>
      <c r="H242" s="761">
        <f>(G242-F242)*100/F242</f>
        <v>3.754933874290387</v>
      </c>
      <c r="I242" s="56"/>
      <c r="J242" s="56"/>
      <c r="K242" s="56"/>
      <c r="L242" s="56"/>
      <c r="M242" s="744"/>
    </row>
    <row r="243" spans="1:13" ht="57" customHeight="1">
      <c r="A243" s="1232"/>
      <c r="B243" s="759"/>
      <c r="C243" s="855" t="s">
        <v>2158</v>
      </c>
      <c r="D243" s="808"/>
      <c r="E243" s="803"/>
      <c r="F243" s="768"/>
      <c r="G243" s="768"/>
      <c r="H243" s="761"/>
      <c r="I243" s="56"/>
      <c r="J243" s="56"/>
      <c r="K243" s="56"/>
      <c r="L243" s="56"/>
      <c r="M243" s="744"/>
    </row>
    <row r="244" spans="1:13" ht="36">
      <c r="A244" s="1232"/>
      <c r="B244" s="759" t="s">
        <v>1048</v>
      </c>
      <c r="C244" s="756" t="s">
        <v>2155</v>
      </c>
      <c r="D244" s="749" t="s">
        <v>2159</v>
      </c>
      <c r="E244" s="749" t="s">
        <v>1257</v>
      </c>
      <c r="F244" s="821">
        <v>567556</v>
      </c>
      <c r="G244" s="821">
        <v>579416</v>
      </c>
      <c r="H244" s="761">
        <f>(G244-F244)*100/F244</f>
        <v>2.089661636913362</v>
      </c>
      <c r="I244" s="56"/>
      <c r="J244" s="56"/>
      <c r="K244" s="56"/>
      <c r="L244" s="56"/>
      <c r="M244" s="744"/>
    </row>
    <row r="245" spans="1:13" ht="36">
      <c r="A245" s="1232"/>
      <c r="B245" s="759" t="s">
        <v>1072</v>
      </c>
      <c r="C245" s="756" t="s">
        <v>1942</v>
      </c>
      <c r="D245" s="747" t="s">
        <v>2160</v>
      </c>
      <c r="E245" s="746" t="s">
        <v>1257</v>
      </c>
      <c r="F245" s="783">
        <v>505864</v>
      </c>
      <c r="G245" s="783">
        <v>515115</v>
      </c>
      <c r="H245" s="761">
        <f>(G245-F245)*100/F245</f>
        <v>1.8287523919472428</v>
      </c>
      <c r="I245" s="56"/>
      <c r="J245" s="56"/>
      <c r="K245" s="56"/>
      <c r="L245" s="56"/>
      <c r="M245" s="744"/>
    </row>
    <row r="246" spans="1:13" ht="56.25" customHeight="1">
      <c r="A246" s="1232"/>
      <c r="B246" s="759"/>
      <c r="C246" s="855" t="s">
        <v>2168</v>
      </c>
      <c r="D246" s="808"/>
      <c r="E246" s="803"/>
      <c r="F246" s="768"/>
      <c r="G246" s="768"/>
      <c r="H246" s="761"/>
      <c r="I246" s="56"/>
      <c r="J246" s="56"/>
      <c r="K246" s="56"/>
      <c r="L246" s="56"/>
      <c r="M246" s="744"/>
    </row>
    <row r="247" spans="1:13" ht="36">
      <c r="A247" s="1232"/>
      <c r="B247" s="759" t="s">
        <v>1048</v>
      </c>
      <c r="C247" s="756" t="s">
        <v>2155</v>
      </c>
      <c r="D247" s="749" t="s">
        <v>2161</v>
      </c>
      <c r="E247" s="749" t="s">
        <v>1257</v>
      </c>
      <c r="F247" s="821">
        <v>739365</v>
      </c>
      <c r="G247" s="821">
        <v>748601</v>
      </c>
      <c r="H247" s="761">
        <f>(G247-F247)*100/F247</f>
        <v>1.2491800396286001</v>
      </c>
      <c r="I247" s="56"/>
      <c r="J247" s="56"/>
      <c r="K247" s="56"/>
      <c r="L247" s="56"/>
      <c r="M247" s="744"/>
    </row>
    <row r="248" spans="1:13" ht="36">
      <c r="A248" s="1232"/>
      <c r="B248" s="759" t="s">
        <v>1072</v>
      </c>
      <c r="C248" s="756" t="s">
        <v>1942</v>
      </c>
      <c r="D248" s="749" t="s">
        <v>2162</v>
      </c>
      <c r="E248" s="759" t="s">
        <v>1257</v>
      </c>
      <c r="F248" s="760">
        <v>677673</v>
      </c>
      <c r="G248" s="760">
        <v>684300</v>
      </c>
      <c r="H248" s="761">
        <f>(G248-F248)*100/F248</f>
        <v>0.9779052728971053</v>
      </c>
      <c r="I248" s="56"/>
      <c r="J248" s="56"/>
      <c r="K248" s="56"/>
      <c r="L248" s="56"/>
      <c r="M248" s="744"/>
    </row>
    <row r="249" spans="1:13" ht="9.75" customHeight="1">
      <c r="A249" s="759"/>
      <c r="B249" s="762"/>
      <c r="C249" s="743"/>
      <c r="D249" s="763"/>
      <c r="E249" s="743"/>
      <c r="F249" s="764"/>
      <c r="G249" s="764"/>
      <c r="H249" s="761"/>
      <c r="I249" s="56"/>
      <c r="J249" s="56"/>
      <c r="K249" s="56"/>
      <c r="L249" s="56"/>
      <c r="M249" s="744"/>
    </row>
    <row r="250" spans="1:13" ht="39.75" customHeight="1">
      <c r="A250" s="1228" t="s">
        <v>2163</v>
      </c>
      <c r="B250" s="759"/>
      <c r="C250" s="855" t="s">
        <v>2154</v>
      </c>
      <c r="D250" s="808"/>
      <c r="E250" s="803"/>
      <c r="F250" s="768"/>
      <c r="G250" s="768"/>
      <c r="H250" s="761"/>
      <c r="I250" s="56"/>
      <c r="J250" s="56"/>
      <c r="K250" s="56"/>
      <c r="L250" s="56"/>
      <c r="M250" s="744"/>
    </row>
    <row r="251" spans="1:13" ht="36">
      <c r="A251" s="1229"/>
      <c r="B251" s="759" t="s">
        <v>1048</v>
      </c>
      <c r="C251" s="756" t="s">
        <v>2165</v>
      </c>
      <c r="D251" s="749" t="s">
        <v>2164</v>
      </c>
      <c r="E251" s="759" t="s">
        <v>1257</v>
      </c>
      <c r="F251" s="821">
        <v>490829</v>
      </c>
      <c r="G251" s="821">
        <v>510080</v>
      </c>
      <c r="H251" s="761">
        <f>(G251-F251)*100/F251</f>
        <v>3.9221398898598085</v>
      </c>
      <c r="I251" s="56"/>
      <c r="J251" s="56"/>
      <c r="K251" s="56"/>
      <c r="L251" s="56"/>
      <c r="M251" s="744"/>
    </row>
    <row r="252" spans="1:13" ht="56.25" customHeight="1">
      <c r="A252" s="1229"/>
      <c r="B252" s="759"/>
      <c r="C252" s="855" t="s">
        <v>2158</v>
      </c>
      <c r="D252" s="861"/>
      <c r="E252" s="758"/>
      <c r="F252" s="775"/>
      <c r="G252" s="775"/>
      <c r="H252" s="761"/>
      <c r="I252" s="56"/>
      <c r="J252" s="56"/>
      <c r="K252" s="56"/>
      <c r="L252" s="56"/>
      <c r="M252" s="744"/>
    </row>
    <row r="253" spans="1:13" ht="36">
      <c r="A253" s="1229"/>
      <c r="B253" s="759" t="s">
        <v>1072</v>
      </c>
      <c r="C253" s="756" t="s">
        <v>2165</v>
      </c>
      <c r="D253" s="759" t="s">
        <v>2166</v>
      </c>
      <c r="E253" s="759" t="s">
        <v>1257</v>
      </c>
      <c r="F253" s="760">
        <v>678738</v>
      </c>
      <c r="G253" s="760">
        <v>695301</v>
      </c>
      <c r="H253" s="761">
        <f>(G253-F253)*100/F253</f>
        <v>2.440264137266515</v>
      </c>
      <c r="I253" s="56"/>
      <c r="J253" s="56"/>
      <c r="K253" s="56"/>
      <c r="L253" s="56"/>
      <c r="M253" s="744"/>
    </row>
    <row r="254" spans="1:13" ht="57" customHeight="1">
      <c r="A254" s="1229"/>
      <c r="B254" s="759"/>
      <c r="C254" s="855" t="s">
        <v>2168</v>
      </c>
      <c r="D254" s="861"/>
      <c r="E254" s="758"/>
      <c r="F254" s="775"/>
      <c r="G254" s="775"/>
      <c r="H254" s="761"/>
      <c r="I254" s="56"/>
      <c r="J254" s="56"/>
      <c r="K254" s="56"/>
      <c r="L254" s="56"/>
      <c r="M254" s="744"/>
    </row>
    <row r="255" spans="1:13" ht="36">
      <c r="A255" s="1230"/>
      <c r="B255" s="759" t="s">
        <v>1693</v>
      </c>
      <c r="C255" s="756" t="s">
        <v>2165</v>
      </c>
      <c r="D255" s="759" t="s">
        <v>2167</v>
      </c>
      <c r="E255" s="759" t="s">
        <v>1257</v>
      </c>
      <c r="F255" s="760">
        <v>850547</v>
      </c>
      <c r="G255" s="760">
        <v>864486</v>
      </c>
      <c r="H255" s="761">
        <f>(G255-F255)*100/F255</f>
        <v>1.6388277191031184</v>
      </c>
      <c r="I255" s="56"/>
      <c r="J255" s="56"/>
      <c r="K255" s="56"/>
      <c r="L255" s="56"/>
      <c r="M255" s="744"/>
    </row>
    <row r="256" spans="1:13" ht="9.75" customHeight="1">
      <c r="A256" s="759"/>
      <c r="B256" s="843"/>
      <c r="C256" s="756"/>
      <c r="D256" s="749"/>
      <c r="E256" s="759"/>
      <c r="F256" s="760"/>
      <c r="G256" s="760"/>
      <c r="H256" s="761"/>
      <c r="I256" s="56"/>
      <c r="J256" s="56"/>
      <c r="K256" s="56"/>
      <c r="L256" s="56"/>
      <c r="M256" s="744"/>
    </row>
    <row r="257" spans="1:13" ht="60" customHeight="1">
      <c r="A257" s="774" t="s">
        <v>384</v>
      </c>
      <c r="B257" s="759"/>
      <c r="C257" s="855" t="s">
        <v>2169</v>
      </c>
      <c r="D257" s="749" t="s">
        <v>2170</v>
      </c>
      <c r="E257" s="759" t="s">
        <v>1257</v>
      </c>
      <c r="F257" s="783">
        <v>282640</v>
      </c>
      <c r="G257" s="783">
        <v>293047</v>
      </c>
      <c r="H257" s="844">
        <f>(G257-F257)*100/F257</f>
        <v>3.682069063119162</v>
      </c>
      <c r="I257" s="56"/>
      <c r="J257" s="56"/>
      <c r="K257" s="56"/>
      <c r="L257" s="56"/>
      <c r="M257" s="744"/>
    </row>
    <row r="258" spans="1:13" ht="57.75" customHeight="1">
      <c r="A258" s="765" t="s">
        <v>392</v>
      </c>
      <c r="B258" s="843"/>
      <c r="C258" s="855" t="s">
        <v>2171</v>
      </c>
      <c r="D258" s="749" t="s">
        <v>2172</v>
      </c>
      <c r="E258" s="759" t="s">
        <v>1257</v>
      </c>
      <c r="F258" s="760">
        <v>295828</v>
      </c>
      <c r="G258" s="760">
        <v>283964</v>
      </c>
      <c r="H258" s="761">
        <f>(G258-F258)*100/F258</f>
        <v>-4.010438498046162</v>
      </c>
      <c r="I258" s="56"/>
      <c r="J258" s="56"/>
      <c r="L258" s="190"/>
      <c r="M258" s="744"/>
    </row>
    <row r="259" spans="1:13" ht="91.5" customHeight="1">
      <c r="A259" s="1228" t="s">
        <v>396</v>
      </c>
      <c r="B259" s="755"/>
      <c r="C259" s="855" t="s">
        <v>2173</v>
      </c>
      <c r="D259" s="870"/>
      <c r="E259" s="777"/>
      <c r="F259" s="779"/>
      <c r="G259" s="779"/>
      <c r="H259" s="791"/>
      <c r="I259" s="56"/>
      <c r="J259" s="56"/>
      <c r="K259" s="699"/>
      <c r="L259" s="56"/>
      <c r="M259" s="744"/>
    </row>
    <row r="260" spans="1:13" ht="23.25" customHeight="1">
      <c r="A260" s="1229"/>
      <c r="B260" s="873" t="s">
        <v>1048</v>
      </c>
      <c r="C260" s="1188" t="s">
        <v>2174</v>
      </c>
      <c r="D260" s="873" t="s">
        <v>2175</v>
      </c>
      <c r="E260" s="873" t="s">
        <v>1257</v>
      </c>
      <c r="F260" s="1181">
        <v>267059</v>
      </c>
      <c r="G260" s="1181">
        <v>278305</v>
      </c>
      <c r="H260" s="739">
        <f>(G260-F260)*100/F260</f>
        <v>4.211054486087344</v>
      </c>
      <c r="I260" s="56"/>
      <c r="J260" s="56"/>
      <c r="K260" s="699"/>
      <c r="L260" s="56"/>
      <c r="M260" s="744"/>
    </row>
    <row r="261" spans="1:13" ht="37.5" customHeight="1">
      <c r="A261" s="774" t="s">
        <v>403</v>
      </c>
      <c r="B261" s="746"/>
      <c r="C261" s="782" t="s">
        <v>2176</v>
      </c>
      <c r="D261" s="746" t="s">
        <v>2177</v>
      </c>
      <c r="E261" s="746" t="s">
        <v>1742</v>
      </c>
      <c r="F261" s="783">
        <v>11864</v>
      </c>
      <c r="G261" s="783">
        <v>11930</v>
      </c>
      <c r="H261" s="761">
        <f>(G261-F261)*100/F261</f>
        <v>0.5563047875927175</v>
      </c>
      <c r="I261" s="56"/>
      <c r="J261" s="56"/>
      <c r="K261" s="56"/>
      <c r="L261" s="56"/>
      <c r="M261" s="744"/>
    </row>
    <row r="262" spans="1:13" ht="9.75" customHeight="1">
      <c r="A262" s="759"/>
      <c r="B262" s="767"/>
      <c r="C262" s="803"/>
      <c r="D262" s="804"/>
      <c r="E262" s="803"/>
      <c r="F262" s="768"/>
      <c r="G262" s="768"/>
      <c r="H262" s="761"/>
      <c r="I262" s="56"/>
      <c r="J262" s="56"/>
      <c r="K262" s="56"/>
      <c r="L262" s="56"/>
      <c r="M262" s="744"/>
    </row>
    <row r="263" spans="1:13" ht="36">
      <c r="A263" s="774" t="s">
        <v>1803</v>
      </c>
      <c r="B263" s="759"/>
      <c r="C263" s="756" t="s">
        <v>2178</v>
      </c>
      <c r="D263" s="759" t="s">
        <v>2179</v>
      </c>
      <c r="E263" s="759" t="s">
        <v>2180</v>
      </c>
      <c r="F263" s="760">
        <v>2382649</v>
      </c>
      <c r="G263" s="760">
        <v>2668928</v>
      </c>
      <c r="H263" s="761">
        <f>(G263-F263)*100/F263</f>
        <v>12.015156239966524</v>
      </c>
      <c r="I263" s="56"/>
      <c r="J263" s="56"/>
      <c r="K263" s="56"/>
      <c r="L263" s="56"/>
      <c r="M263" s="744"/>
    </row>
    <row r="264" spans="1:13" ht="36">
      <c r="A264" s="774" t="s">
        <v>1806</v>
      </c>
      <c r="B264" s="759"/>
      <c r="C264" s="756" t="s">
        <v>2181</v>
      </c>
      <c r="D264" s="759" t="s">
        <v>2182</v>
      </c>
      <c r="E264" s="759" t="s">
        <v>2183</v>
      </c>
      <c r="F264" s="760">
        <v>1125676</v>
      </c>
      <c r="G264" s="760">
        <v>1220433</v>
      </c>
      <c r="H264" s="761">
        <f>(G264-F264)*100/F264</f>
        <v>8.417786290193625</v>
      </c>
      <c r="I264" s="56"/>
      <c r="J264" s="56"/>
      <c r="K264" s="56"/>
      <c r="L264" s="56"/>
      <c r="M264" s="744"/>
    </row>
    <row r="265" spans="1:13" ht="35.25" customHeight="1">
      <c r="A265" s="774" t="s">
        <v>1809</v>
      </c>
      <c r="B265" s="759"/>
      <c r="C265" s="756" t="s">
        <v>2184</v>
      </c>
      <c r="D265" s="759" t="s">
        <v>2185</v>
      </c>
      <c r="E265" s="759" t="s">
        <v>2186</v>
      </c>
      <c r="F265" s="760">
        <v>839747</v>
      </c>
      <c r="G265" s="760">
        <v>910638</v>
      </c>
      <c r="H265" s="761">
        <f>(G265-F265)*100/F265</f>
        <v>8.441947396060957</v>
      </c>
      <c r="I265" s="56"/>
      <c r="J265" s="56"/>
      <c r="K265" s="56"/>
      <c r="L265" s="56"/>
      <c r="M265" s="744"/>
    </row>
    <row r="266" spans="1:13" ht="20.25" customHeight="1">
      <c r="A266" s="774" t="s">
        <v>1817</v>
      </c>
      <c r="B266" s="759"/>
      <c r="C266" s="756" t="s">
        <v>2187</v>
      </c>
      <c r="D266" s="746" t="s">
        <v>2188</v>
      </c>
      <c r="E266" s="746" t="s">
        <v>1257</v>
      </c>
      <c r="F266" s="783">
        <v>72503</v>
      </c>
      <c r="G266" s="783">
        <v>80078</v>
      </c>
      <c r="H266" s="761">
        <f>(G266-F266)*100/F266</f>
        <v>10.447843537508792</v>
      </c>
      <c r="I266" s="56"/>
      <c r="J266" s="56"/>
      <c r="K266" s="56"/>
      <c r="L266" s="56"/>
      <c r="M266" s="744"/>
    </row>
    <row r="267" spans="1:13" ht="36">
      <c r="A267" s="1228" t="s">
        <v>1825</v>
      </c>
      <c r="B267" s="759"/>
      <c r="C267" s="855" t="s">
        <v>685</v>
      </c>
      <c r="D267" s="871"/>
      <c r="E267" s="803"/>
      <c r="F267" s="872"/>
      <c r="G267" s="872"/>
      <c r="H267" s="761"/>
      <c r="I267" s="56"/>
      <c r="J267" s="56"/>
      <c r="K267" s="56"/>
      <c r="L267" s="56"/>
      <c r="M267" s="744"/>
    </row>
    <row r="268" spans="1:13" ht="25.5" customHeight="1">
      <c r="A268" s="1229"/>
      <c r="B268" s="873" t="s">
        <v>1048</v>
      </c>
      <c r="C268" s="874" t="s">
        <v>686</v>
      </c>
      <c r="D268" s="740" t="s">
        <v>687</v>
      </c>
      <c r="E268" s="740"/>
      <c r="F268" s="1180">
        <v>70575</v>
      </c>
      <c r="G268" s="1180">
        <v>75485</v>
      </c>
      <c r="H268" s="739">
        <f aca="true" t="shared" si="1" ref="H268:H273">(G268-F268)*100/F268</f>
        <v>6.957137796670209</v>
      </c>
      <c r="I268" s="56"/>
      <c r="J268" s="56"/>
      <c r="K268" s="56"/>
      <c r="L268" s="56"/>
      <c r="M268" s="744"/>
    </row>
    <row r="269" spans="1:13" ht="29.25" customHeight="1">
      <c r="A269" s="1229"/>
      <c r="B269" s="873" t="s">
        <v>1072</v>
      </c>
      <c r="C269" s="874" t="s">
        <v>688</v>
      </c>
      <c r="D269" s="873" t="s">
        <v>689</v>
      </c>
      <c r="E269" s="873"/>
      <c r="F269" s="1181">
        <v>114126</v>
      </c>
      <c r="G269" s="1181">
        <v>122106</v>
      </c>
      <c r="H269" s="739">
        <f t="shared" si="1"/>
        <v>6.992271699700331</v>
      </c>
      <c r="I269" s="56"/>
      <c r="J269" s="56"/>
      <c r="K269" s="56"/>
      <c r="L269" s="56"/>
      <c r="M269" s="744"/>
    </row>
    <row r="270" spans="1:13" ht="25.5" customHeight="1">
      <c r="A270" s="1229"/>
      <c r="B270" s="873" t="s">
        <v>1693</v>
      </c>
      <c r="C270" s="874" t="s">
        <v>690</v>
      </c>
      <c r="D270" s="873" t="s">
        <v>691</v>
      </c>
      <c r="E270" s="873"/>
      <c r="F270" s="1181">
        <v>73487</v>
      </c>
      <c r="G270" s="1181">
        <v>78662</v>
      </c>
      <c r="H270" s="739">
        <f t="shared" si="1"/>
        <v>7.042061861281587</v>
      </c>
      <c r="I270" s="56"/>
      <c r="J270" s="56"/>
      <c r="K270" s="56"/>
      <c r="L270" s="56"/>
      <c r="M270" s="744"/>
    </row>
    <row r="271" spans="1:13" ht="24.75" customHeight="1">
      <c r="A271" s="1230"/>
      <c r="B271" s="873" t="s">
        <v>1695</v>
      </c>
      <c r="C271" s="874" t="s">
        <v>692</v>
      </c>
      <c r="D271" s="873" t="s">
        <v>693</v>
      </c>
      <c r="E271" s="873"/>
      <c r="F271" s="1181">
        <v>116951</v>
      </c>
      <c r="G271" s="1181">
        <v>125193</v>
      </c>
      <c r="H271" s="739">
        <f t="shared" si="1"/>
        <v>7.047395917948543</v>
      </c>
      <c r="I271" s="56"/>
      <c r="J271" s="56"/>
      <c r="K271" s="56"/>
      <c r="L271" s="56"/>
      <c r="M271" s="744"/>
    </row>
    <row r="272" spans="1:13" ht="36">
      <c r="A272" s="774" t="s">
        <v>1828</v>
      </c>
      <c r="B272" s="759"/>
      <c r="C272" s="855" t="s">
        <v>694</v>
      </c>
      <c r="D272" s="759" t="s">
        <v>695</v>
      </c>
      <c r="E272" s="746" t="s">
        <v>1257</v>
      </c>
      <c r="F272" s="760">
        <v>192809</v>
      </c>
      <c r="G272" s="760">
        <v>207713</v>
      </c>
      <c r="H272" s="761">
        <f t="shared" si="1"/>
        <v>7.7299296194679705</v>
      </c>
      <c r="I272" s="56"/>
      <c r="J272" s="56"/>
      <c r="K272" s="56"/>
      <c r="L272" s="56"/>
      <c r="M272" s="744"/>
    </row>
    <row r="273" spans="1:13" ht="36">
      <c r="A273" s="765" t="s">
        <v>696</v>
      </c>
      <c r="B273" s="746"/>
      <c r="C273" s="875" t="s">
        <v>697</v>
      </c>
      <c r="D273" s="746" t="s">
        <v>698</v>
      </c>
      <c r="E273" s="746" t="s">
        <v>1257</v>
      </c>
      <c r="F273" s="783">
        <v>221544</v>
      </c>
      <c r="G273" s="783">
        <v>239014</v>
      </c>
      <c r="H273" s="761">
        <f t="shared" si="1"/>
        <v>7.885566749720146</v>
      </c>
      <c r="I273" s="56"/>
      <c r="J273" s="56"/>
      <c r="K273" s="56"/>
      <c r="L273" s="56"/>
      <c r="M273" s="744"/>
    </row>
    <row r="274" spans="1:13" ht="36">
      <c r="A274" s="1232" t="s">
        <v>699</v>
      </c>
      <c r="B274" s="759"/>
      <c r="C274" s="875" t="s">
        <v>700</v>
      </c>
      <c r="D274" s="856"/>
      <c r="E274" s="801"/>
      <c r="F274" s="802"/>
      <c r="G274" s="802"/>
      <c r="H274" s="761"/>
      <c r="I274" s="56"/>
      <c r="J274" s="56"/>
      <c r="K274" s="56"/>
      <c r="L274" s="56"/>
      <c r="M274" s="744"/>
    </row>
    <row r="275" spans="1:13" ht="36">
      <c r="A275" s="1232"/>
      <c r="B275" s="759" t="s">
        <v>1048</v>
      </c>
      <c r="C275" s="875" t="s">
        <v>701</v>
      </c>
      <c r="D275" s="747" t="s">
        <v>702</v>
      </c>
      <c r="E275" s="747" t="s">
        <v>1742</v>
      </c>
      <c r="F275" s="828">
        <v>1299</v>
      </c>
      <c r="G275" s="828">
        <v>1350</v>
      </c>
      <c r="H275" s="761">
        <f>(G275-F275)*100/F275</f>
        <v>3.9260969976905313</v>
      </c>
      <c r="I275" s="56"/>
      <c r="J275" s="56"/>
      <c r="K275" s="56"/>
      <c r="L275" s="56"/>
      <c r="M275" s="744"/>
    </row>
    <row r="276" spans="1:13" ht="36">
      <c r="A276" s="1232"/>
      <c r="B276" s="759" t="s">
        <v>1072</v>
      </c>
      <c r="C276" s="875" t="s">
        <v>703</v>
      </c>
      <c r="D276" s="746" t="s">
        <v>704</v>
      </c>
      <c r="E276" s="746" t="s">
        <v>1742</v>
      </c>
      <c r="F276" s="783">
        <v>1517</v>
      </c>
      <c r="G276" s="783">
        <v>1577</v>
      </c>
      <c r="H276" s="844">
        <f>(G276-F276)*100/F276</f>
        <v>3.955174686882004</v>
      </c>
      <c r="I276" s="56"/>
      <c r="J276" s="56"/>
      <c r="K276" s="56"/>
      <c r="L276" s="56"/>
      <c r="M276" s="744"/>
    </row>
    <row r="277" spans="1:13" ht="56.25" customHeight="1">
      <c r="A277" s="774" t="s">
        <v>705</v>
      </c>
      <c r="B277" s="759"/>
      <c r="C277" s="855" t="s">
        <v>706</v>
      </c>
      <c r="D277" s="759" t="s">
        <v>707</v>
      </c>
      <c r="E277" s="759" t="s">
        <v>1257</v>
      </c>
      <c r="F277" s="760">
        <v>248148</v>
      </c>
      <c r="G277" s="760">
        <v>257348</v>
      </c>
      <c r="H277" s="844">
        <f>(G277-F277)*100/F277</f>
        <v>3.707464899979045</v>
      </c>
      <c r="I277" s="56"/>
      <c r="J277" s="56"/>
      <c r="K277" s="700"/>
      <c r="L277" s="1197"/>
      <c r="M277" s="744"/>
    </row>
    <row r="278" spans="1:13" ht="9.75" customHeight="1">
      <c r="A278" s="742"/>
      <c r="B278" s="876"/>
      <c r="C278" s="877"/>
      <c r="D278" s="876"/>
      <c r="E278" s="876"/>
      <c r="F278" s="878"/>
      <c r="G278" s="878"/>
      <c r="H278" s="761"/>
      <c r="I278" s="56"/>
      <c r="J278" s="56"/>
      <c r="K278" s="56"/>
      <c r="L278" s="56"/>
      <c r="M278" s="744"/>
    </row>
    <row r="279" spans="1:13" ht="18">
      <c r="A279" s="1244" t="s">
        <v>708</v>
      </c>
      <c r="B279" s="1245"/>
      <c r="C279" s="1245"/>
      <c r="D279" s="752"/>
      <c r="E279" s="807"/>
      <c r="F279" s="802"/>
      <c r="G279" s="802"/>
      <c r="H279" s="761"/>
      <c r="I279" s="56"/>
      <c r="J279" s="56"/>
      <c r="K279" s="56"/>
      <c r="L279" s="56"/>
      <c r="M279" s="744"/>
    </row>
    <row r="280" spans="1:13" ht="9.75" customHeight="1">
      <c r="A280" s="759"/>
      <c r="B280" s="767"/>
      <c r="C280" s="803"/>
      <c r="D280" s="804"/>
      <c r="E280" s="803"/>
      <c r="F280" s="768"/>
      <c r="G280" s="768"/>
      <c r="H280" s="761"/>
      <c r="I280" s="56"/>
      <c r="J280" s="56"/>
      <c r="K280" s="56"/>
      <c r="L280" s="56"/>
      <c r="M280" s="744"/>
    </row>
    <row r="281" spans="1:13" ht="24.75" customHeight="1">
      <c r="A281" s="1228" t="s">
        <v>570</v>
      </c>
      <c r="B281" s="756"/>
      <c r="C281" s="855" t="s">
        <v>709</v>
      </c>
      <c r="D281" s="808"/>
      <c r="E281" s="803"/>
      <c r="F281" s="768"/>
      <c r="G281" s="768"/>
      <c r="H281" s="761"/>
      <c r="I281" s="56"/>
      <c r="J281" s="56"/>
      <c r="K281" s="56"/>
      <c r="L281" s="56"/>
      <c r="M281" s="744"/>
    </row>
    <row r="282" spans="1:13" ht="23.25" customHeight="1">
      <c r="A282" s="1229"/>
      <c r="B282" s="759" t="s">
        <v>1048</v>
      </c>
      <c r="C282" s="756" t="s">
        <v>227</v>
      </c>
      <c r="D282" s="759" t="s">
        <v>710</v>
      </c>
      <c r="E282" s="759" t="s">
        <v>1130</v>
      </c>
      <c r="F282" s="760">
        <v>10033</v>
      </c>
      <c r="G282" s="760">
        <v>9927</v>
      </c>
      <c r="H282" s="761">
        <f>(G282-F282)*100/F282</f>
        <v>-1.0565135054320742</v>
      </c>
      <c r="I282" s="56"/>
      <c r="J282" s="56"/>
      <c r="K282" s="56"/>
      <c r="L282" s="1198"/>
      <c r="M282" s="744"/>
    </row>
    <row r="283" spans="1:13" ht="23.25" customHeight="1">
      <c r="A283" s="1229"/>
      <c r="B283" s="759" t="s">
        <v>1072</v>
      </c>
      <c r="C283" s="756" t="s">
        <v>229</v>
      </c>
      <c r="D283" s="759" t="s">
        <v>711</v>
      </c>
      <c r="E283" s="759" t="s">
        <v>1130</v>
      </c>
      <c r="F283" s="760">
        <v>10033</v>
      </c>
      <c r="G283" s="760">
        <v>9927</v>
      </c>
      <c r="H283" s="761">
        <f>(G283-F283)*100/F283</f>
        <v>-1.0565135054320742</v>
      </c>
      <c r="I283" s="56"/>
      <c r="J283" s="56"/>
      <c r="K283" s="56"/>
      <c r="L283" s="1198"/>
      <c r="M283" s="744"/>
    </row>
    <row r="284" spans="1:13" ht="23.25" customHeight="1">
      <c r="A284" s="1229"/>
      <c r="B284" s="759" t="s">
        <v>1693</v>
      </c>
      <c r="C284" s="756" t="s">
        <v>231</v>
      </c>
      <c r="D284" s="759" t="s">
        <v>712</v>
      </c>
      <c r="E284" s="759" t="s">
        <v>1130</v>
      </c>
      <c r="F284" s="760">
        <v>10033</v>
      </c>
      <c r="G284" s="760">
        <v>9927</v>
      </c>
      <c r="H284" s="761">
        <f>(G284-F284)*100/F284</f>
        <v>-1.0565135054320742</v>
      </c>
      <c r="I284" s="56"/>
      <c r="J284" s="56"/>
      <c r="K284" s="56"/>
      <c r="L284" s="1198"/>
      <c r="M284" s="744"/>
    </row>
    <row r="285" spans="1:13" ht="23.25" customHeight="1">
      <c r="A285" s="1230"/>
      <c r="B285" s="759" t="s">
        <v>1695</v>
      </c>
      <c r="C285" s="756" t="s">
        <v>233</v>
      </c>
      <c r="D285" s="759" t="s">
        <v>713</v>
      </c>
      <c r="E285" s="759" t="s">
        <v>1130</v>
      </c>
      <c r="F285" s="760">
        <v>9754</v>
      </c>
      <c r="G285" s="760">
        <v>9635</v>
      </c>
      <c r="H285" s="761">
        <f>(G285-F285)*100/F285</f>
        <v>-1.2200123026450687</v>
      </c>
      <c r="I285" s="56"/>
      <c r="J285" s="56"/>
      <c r="K285" s="56"/>
      <c r="L285" s="1198"/>
      <c r="M285" s="699"/>
    </row>
    <row r="286" spans="1:13" ht="57" customHeight="1">
      <c r="A286" s="756"/>
      <c r="B286" s="756"/>
      <c r="C286" s="756" t="s">
        <v>2105</v>
      </c>
      <c r="D286" s="856"/>
      <c r="E286" s="801"/>
      <c r="F286" s="802"/>
      <c r="G286" s="802"/>
      <c r="H286" s="761"/>
      <c r="I286" s="56"/>
      <c r="J286" s="56"/>
      <c r="K286" s="56"/>
      <c r="L286" s="56"/>
      <c r="M286" s="744"/>
    </row>
    <row r="287" spans="1:13" ht="54.75" customHeight="1">
      <c r="A287" s="1228" t="s">
        <v>1261</v>
      </c>
      <c r="B287" s="759" t="s">
        <v>1048</v>
      </c>
      <c r="C287" s="756" t="s">
        <v>163</v>
      </c>
      <c r="D287" s="759" t="s">
        <v>164</v>
      </c>
      <c r="E287" s="759" t="s">
        <v>1130</v>
      </c>
      <c r="F287" s="760" t="s">
        <v>165</v>
      </c>
      <c r="G287" s="760"/>
      <c r="H287" s="761"/>
      <c r="I287" s="56"/>
      <c r="J287" s="56"/>
      <c r="K287" s="56"/>
      <c r="L287" s="56"/>
      <c r="M287" s="744"/>
    </row>
    <row r="288" spans="1:13" ht="20.25" customHeight="1">
      <c r="A288" s="1229"/>
      <c r="B288" s="759" t="s">
        <v>1048</v>
      </c>
      <c r="C288" s="756" t="s">
        <v>166</v>
      </c>
      <c r="D288" s="759" t="s">
        <v>167</v>
      </c>
      <c r="E288" s="759" t="s">
        <v>1130</v>
      </c>
      <c r="F288" s="760">
        <v>2684</v>
      </c>
      <c r="G288" s="760">
        <v>2731</v>
      </c>
      <c r="H288" s="761">
        <f>(G288-F288)*100/F288</f>
        <v>1.751117734724292</v>
      </c>
      <c r="I288" s="56"/>
      <c r="J288" s="56"/>
      <c r="K288" s="700"/>
      <c r="L288" s="56"/>
      <c r="M288" s="744"/>
    </row>
    <row r="289" spans="1:13" ht="18" customHeight="1">
      <c r="A289" s="1230"/>
      <c r="B289" s="759" t="s">
        <v>1072</v>
      </c>
      <c r="C289" s="756" t="s">
        <v>168</v>
      </c>
      <c r="D289" s="759" t="s">
        <v>169</v>
      </c>
      <c r="E289" s="759" t="s">
        <v>1130</v>
      </c>
      <c r="F289" s="760">
        <v>2390</v>
      </c>
      <c r="G289" s="760">
        <v>2436</v>
      </c>
      <c r="H289" s="761">
        <f>(G289-F289)*100/F289</f>
        <v>1.9246861924686192</v>
      </c>
      <c r="I289" s="56"/>
      <c r="J289" s="56"/>
      <c r="K289" s="700"/>
      <c r="L289" s="56"/>
      <c r="M289" s="744"/>
    </row>
    <row r="290" spans="1:13" ht="54">
      <c r="A290" s="1228" t="s">
        <v>1267</v>
      </c>
      <c r="B290" s="759" t="s">
        <v>1072</v>
      </c>
      <c r="C290" s="756" t="s">
        <v>170</v>
      </c>
      <c r="D290" s="759" t="s">
        <v>171</v>
      </c>
      <c r="E290" s="759" t="s">
        <v>1130</v>
      </c>
      <c r="F290" s="760" t="s">
        <v>165</v>
      </c>
      <c r="G290" s="760"/>
      <c r="H290" s="761"/>
      <c r="I290" s="56"/>
      <c r="J290" s="56"/>
      <c r="K290" s="56"/>
      <c r="L290" s="56"/>
      <c r="M290" s="744"/>
    </row>
    <row r="291" spans="1:13" ht="19.5" customHeight="1">
      <c r="A291" s="1229"/>
      <c r="B291" s="759" t="s">
        <v>1048</v>
      </c>
      <c r="C291" s="756" t="s">
        <v>166</v>
      </c>
      <c r="D291" s="759" t="s">
        <v>172</v>
      </c>
      <c r="E291" s="759" t="s">
        <v>1130</v>
      </c>
      <c r="F291" s="760">
        <v>5262</v>
      </c>
      <c r="G291" s="760">
        <v>5315</v>
      </c>
      <c r="H291" s="761">
        <f>(G291-F291)*100/F291</f>
        <v>1.0072215887495248</v>
      </c>
      <c r="I291" s="56"/>
      <c r="J291" s="56"/>
      <c r="K291" s="700"/>
      <c r="L291" s="56"/>
      <c r="M291" s="744"/>
    </row>
    <row r="292" spans="1:13" ht="19.5" customHeight="1">
      <c r="A292" s="1230"/>
      <c r="B292" s="759" t="s">
        <v>1072</v>
      </c>
      <c r="C292" s="756" t="s">
        <v>168</v>
      </c>
      <c r="D292" s="759" t="s">
        <v>173</v>
      </c>
      <c r="E292" s="759" t="s">
        <v>1130</v>
      </c>
      <c r="F292" s="760">
        <v>5033</v>
      </c>
      <c r="G292" s="760">
        <v>5086</v>
      </c>
      <c r="H292" s="761">
        <f>(G292-F292)*100/F292</f>
        <v>1.0530498708523743</v>
      </c>
      <c r="I292" s="56"/>
      <c r="J292" s="56"/>
      <c r="K292" s="700"/>
      <c r="L292" s="56"/>
      <c r="M292" s="744"/>
    </row>
    <row r="293" spans="1:13" ht="57" customHeight="1">
      <c r="A293" s="774" t="s">
        <v>1273</v>
      </c>
      <c r="B293" s="759" t="s">
        <v>1693</v>
      </c>
      <c r="C293" s="756" t="s">
        <v>174</v>
      </c>
      <c r="D293" s="759" t="s">
        <v>175</v>
      </c>
      <c r="E293" s="759" t="s">
        <v>1130</v>
      </c>
      <c r="F293" s="760">
        <v>3066</v>
      </c>
      <c r="G293" s="760">
        <v>3084</v>
      </c>
      <c r="H293" s="761">
        <f>(G293-F293)*100/F293</f>
        <v>0.5870841487279843</v>
      </c>
      <c r="I293" s="56"/>
      <c r="J293" s="56"/>
      <c r="K293" s="56"/>
      <c r="L293" s="56"/>
      <c r="M293" s="744"/>
    </row>
    <row r="294" spans="1:13" ht="39" customHeight="1">
      <c r="A294" s="1232" t="s">
        <v>1519</v>
      </c>
      <c r="B294" s="759" t="s">
        <v>1695</v>
      </c>
      <c r="C294" s="756" t="s">
        <v>176</v>
      </c>
      <c r="D294" s="759" t="s">
        <v>177</v>
      </c>
      <c r="E294" s="759" t="s">
        <v>1130</v>
      </c>
      <c r="F294" s="760" t="s">
        <v>165</v>
      </c>
      <c r="G294" s="760"/>
      <c r="H294" s="761"/>
      <c r="I294" s="56"/>
      <c r="J294" s="56"/>
      <c r="K294" s="56"/>
      <c r="L294" s="56"/>
      <c r="M294" s="744"/>
    </row>
    <row r="295" spans="1:13" ht="18">
      <c r="A295" s="1232"/>
      <c r="B295" s="759" t="s">
        <v>1048</v>
      </c>
      <c r="C295" s="756" t="s">
        <v>166</v>
      </c>
      <c r="D295" s="759" t="s">
        <v>178</v>
      </c>
      <c r="E295" s="759" t="s">
        <v>1130</v>
      </c>
      <c r="F295" s="760">
        <v>1605</v>
      </c>
      <c r="G295" s="760">
        <v>1668</v>
      </c>
      <c r="H295" s="761">
        <f>(G295-F295)*100/F295</f>
        <v>3.925233644859813</v>
      </c>
      <c r="I295" s="56"/>
      <c r="J295" s="56"/>
      <c r="K295" s="700"/>
      <c r="L295" s="56"/>
      <c r="M295" s="744"/>
    </row>
    <row r="296" spans="1:13" ht="18">
      <c r="A296" s="1228"/>
      <c r="B296" s="746" t="s">
        <v>1072</v>
      </c>
      <c r="C296" s="782" t="s">
        <v>168</v>
      </c>
      <c r="D296" s="746" t="s">
        <v>179</v>
      </c>
      <c r="E296" s="746" t="s">
        <v>1130</v>
      </c>
      <c r="F296" s="783">
        <v>1311</v>
      </c>
      <c r="G296" s="783">
        <v>1373</v>
      </c>
      <c r="H296" s="844">
        <f>(G296-F296)*100/F296</f>
        <v>4.729214340198322</v>
      </c>
      <c r="I296" s="56"/>
      <c r="J296" s="56"/>
      <c r="K296" s="700"/>
      <c r="L296" s="56"/>
      <c r="M296" s="741"/>
    </row>
    <row r="297" spans="1:13" ht="37.5" customHeight="1">
      <c r="A297" s="1232" t="s">
        <v>1740</v>
      </c>
      <c r="B297" s="759" t="s">
        <v>1697</v>
      </c>
      <c r="C297" s="756" t="s">
        <v>180</v>
      </c>
      <c r="D297" s="759" t="s">
        <v>181</v>
      </c>
      <c r="E297" s="759" t="s">
        <v>1130</v>
      </c>
      <c r="F297" s="760" t="s">
        <v>165</v>
      </c>
      <c r="G297" s="760"/>
      <c r="H297" s="761"/>
      <c r="I297" s="190"/>
      <c r="J297" s="190"/>
      <c r="K297" s="190"/>
      <c r="L297" s="190"/>
      <c r="M297" s="741"/>
    </row>
    <row r="298" spans="1:13" ht="18">
      <c r="A298" s="1232"/>
      <c r="B298" s="759" t="s">
        <v>1048</v>
      </c>
      <c r="C298" s="756" t="s">
        <v>166</v>
      </c>
      <c r="D298" s="759" t="s">
        <v>182</v>
      </c>
      <c r="E298" s="759" t="s">
        <v>1130</v>
      </c>
      <c r="F298" s="760">
        <v>2726</v>
      </c>
      <c r="G298" s="760">
        <v>2779</v>
      </c>
      <c r="H298" s="761">
        <f>(G298-F298)*100/F298</f>
        <v>1.9442406456346295</v>
      </c>
      <c r="I298" s="190"/>
      <c r="J298" s="190"/>
      <c r="K298" s="1182"/>
      <c r="L298" s="190"/>
      <c r="M298" s="741"/>
    </row>
    <row r="299" spans="1:13" ht="18">
      <c r="A299" s="1232"/>
      <c r="B299" s="759" t="s">
        <v>1072</v>
      </c>
      <c r="C299" s="756" t="s">
        <v>168</v>
      </c>
      <c r="D299" s="759" t="s">
        <v>183</v>
      </c>
      <c r="E299" s="759" t="s">
        <v>1130</v>
      </c>
      <c r="F299" s="760">
        <v>2497</v>
      </c>
      <c r="G299" s="760">
        <v>2550</v>
      </c>
      <c r="H299" s="761">
        <f>(G299-F299)*100/F299</f>
        <v>2.122547056467761</v>
      </c>
      <c r="I299" s="190"/>
      <c r="J299" s="190"/>
      <c r="K299" s="1182"/>
      <c r="L299" s="190"/>
      <c r="M299" s="741"/>
    </row>
    <row r="300" spans="1:13" ht="18">
      <c r="A300" s="879"/>
      <c r="B300" s="789"/>
      <c r="C300" s="758"/>
      <c r="D300" s="789"/>
      <c r="E300" s="789"/>
      <c r="F300" s="790"/>
      <c r="G300" s="790"/>
      <c r="H300" s="880"/>
      <c r="I300" s="190"/>
      <c r="J300" s="190"/>
      <c r="K300" s="1182"/>
      <c r="L300" s="190"/>
      <c r="M300" s="741"/>
    </row>
    <row r="301" spans="1:13" ht="26.25" customHeight="1">
      <c r="A301" s="879"/>
      <c r="B301" s="789"/>
      <c r="C301" s="758"/>
      <c r="D301" s="789"/>
      <c r="E301" s="1190" t="s">
        <v>1465</v>
      </c>
      <c r="F301" s="1189">
        <f>SUM(F8:F300)</f>
        <v>110045709</v>
      </c>
      <c r="G301" s="1189">
        <f>SUM(G8:G300)</f>
        <v>113946293</v>
      </c>
      <c r="H301" s="1191">
        <f>(G301-F301)/F301*100</f>
        <v>3.5445125806768165</v>
      </c>
      <c r="I301" s="190"/>
      <c r="J301" s="190"/>
      <c r="K301" s="1182"/>
      <c r="L301" s="190"/>
      <c r="M301" s="741"/>
    </row>
    <row r="302" spans="1:13" ht="18">
      <c r="A302" s="879"/>
      <c r="B302" s="789"/>
      <c r="C302" s="758"/>
      <c r="D302" s="789"/>
      <c r="E302" s="789"/>
      <c r="I302" s="190"/>
      <c r="J302" s="190"/>
      <c r="K302" s="1182"/>
      <c r="L302" s="190"/>
      <c r="M302" s="741"/>
    </row>
    <row r="303" spans="1:13" ht="18.75" customHeight="1">
      <c r="A303" s="879"/>
      <c r="B303" s="789"/>
      <c r="C303" s="758"/>
      <c r="D303" s="789"/>
      <c r="E303" s="789"/>
      <c r="I303" s="56"/>
      <c r="J303" s="56"/>
      <c r="K303" s="700"/>
      <c r="L303" s="56"/>
      <c r="M303" s="741"/>
    </row>
    <row r="307" spans="6:7" ht="12.75">
      <c r="F307" s="145"/>
      <c r="G307" s="145"/>
    </row>
    <row r="313" spans="4:6" ht="20.25">
      <c r="D313" s="883"/>
      <c r="E313" s="883"/>
      <c r="F313" s="882"/>
    </row>
    <row r="314" spans="4:6" ht="20.25">
      <c r="D314" s="885"/>
      <c r="E314" s="885"/>
      <c r="F314" s="884"/>
    </row>
    <row r="315" spans="4:6" ht="18">
      <c r="D315" s="881"/>
      <c r="E315" s="744"/>
      <c r="F315" s="688"/>
    </row>
    <row r="316" spans="4:6" ht="18">
      <c r="D316" s="881"/>
      <c r="E316" s="744"/>
      <c r="F316" s="688"/>
    </row>
    <row r="319" ht="20.25">
      <c r="D319" s="883"/>
    </row>
    <row r="320" ht="20.25">
      <c r="D320" s="886"/>
    </row>
  </sheetData>
  <sheetProtection/>
  <mergeCells count="64">
    <mergeCell ref="A126:A129"/>
    <mergeCell ref="A297:A299"/>
    <mergeCell ref="A259:A260"/>
    <mergeCell ref="A267:A271"/>
    <mergeCell ref="A274:A276"/>
    <mergeCell ref="A279:C279"/>
    <mergeCell ref="A281:A285"/>
    <mergeCell ref="A287:A289"/>
    <mergeCell ref="A224:A228"/>
    <mergeCell ref="A234:A238"/>
    <mergeCell ref="A290:A292"/>
    <mergeCell ref="A294:A296"/>
    <mergeCell ref="A240:A248"/>
    <mergeCell ref="A250:A255"/>
    <mergeCell ref="A218:A222"/>
    <mergeCell ref="A189:A192"/>
    <mergeCell ref="A194:A197"/>
    <mergeCell ref="A200:A203"/>
    <mergeCell ref="A176:A181"/>
    <mergeCell ref="A204:A207"/>
    <mergeCell ref="A209:C209"/>
    <mergeCell ref="A210:A216"/>
    <mergeCell ref="A183:A187"/>
    <mergeCell ref="A131:A133"/>
    <mergeCell ref="A137:A140"/>
    <mergeCell ref="A141:A146"/>
    <mergeCell ref="A148:A149"/>
    <mergeCell ref="A151:A153"/>
    <mergeCell ref="A155:C155"/>
    <mergeCell ref="A157:A162"/>
    <mergeCell ref="A164:A168"/>
    <mergeCell ref="A170:A174"/>
    <mergeCell ref="B3:C4"/>
    <mergeCell ref="A120:A122"/>
    <mergeCell ref="A57:A63"/>
    <mergeCell ref="A65:A68"/>
    <mergeCell ref="A70:A73"/>
    <mergeCell ref="A83:A86"/>
    <mergeCell ref="A92:A94"/>
    <mergeCell ref="A105:A111"/>
    <mergeCell ref="A98:C98"/>
    <mergeCell ref="A16:A19"/>
    <mergeCell ref="A55:C55"/>
    <mergeCell ref="A100:A102"/>
    <mergeCell ref="H3:H4"/>
    <mergeCell ref="A47:A49"/>
    <mergeCell ref="A51:A53"/>
    <mergeCell ref="L3:L4"/>
    <mergeCell ref="A6:C6"/>
    <mergeCell ref="A12:A14"/>
    <mergeCell ref="A37:A39"/>
    <mergeCell ref="A21:A24"/>
    <mergeCell ref="A28:A29"/>
    <mergeCell ref="B5:C5"/>
    <mergeCell ref="A116:A118"/>
    <mergeCell ref="B1:G1"/>
    <mergeCell ref="A31:A32"/>
    <mergeCell ref="A34:A35"/>
    <mergeCell ref="A42:A45"/>
    <mergeCell ref="E3:E4"/>
    <mergeCell ref="D3:D4"/>
    <mergeCell ref="A3:A4"/>
    <mergeCell ref="A7:A10"/>
    <mergeCell ref="A90:C90"/>
  </mergeCells>
  <printOptions/>
  <pageMargins left="0.7" right="0.16" top="0.55" bottom="0.26" header="0.3" footer="0.16"/>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1"/>
  </sheetPr>
  <dimension ref="A1:J57"/>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4.7109375" style="79" customWidth="1"/>
    <col min="2" max="2" width="49.8515625" style="2" customWidth="1"/>
    <col min="3" max="3" width="14.57421875" style="2" customWidth="1"/>
    <col min="4" max="4" width="6.00390625" style="2" bestFit="1" customWidth="1"/>
    <col min="5" max="5" width="6.421875" style="2" bestFit="1" customWidth="1"/>
    <col min="6" max="6" width="9.57421875" style="2" bestFit="1" customWidth="1"/>
    <col min="7" max="7" width="12.140625" style="2" bestFit="1" customWidth="1"/>
    <col min="8" max="8" width="9.140625" style="2" customWidth="1"/>
    <col min="9" max="9" width="11.28125" style="2" customWidth="1"/>
    <col min="10" max="10" width="15.7109375" style="2" customWidth="1"/>
    <col min="11" max="16384" width="9.140625" style="2" customWidth="1"/>
  </cols>
  <sheetData>
    <row r="1" spans="2:7" ht="18">
      <c r="B1" s="1334" t="s">
        <v>517</v>
      </c>
      <c r="C1" s="1334"/>
      <c r="D1" s="1334"/>
      <c r="E1" s="78"/>
      <c r="F1" s="78"/>
      <c r="G1" s="78"/>
    </row>
    <row r="2" spans="1:7" ht="13.5" customHeight="1">
      <c r="A2" s="21"/>
      <c r="B2" s="21"/>
      <c r="C2" s="21"/>
      <c r="D2" s="21"/>
      <c r="E2" s="21"/>
      <c r="F2" s="21"/>
      <c r="G2" s="21"/>
    </row>
    <row r="3" spans="2:7" ht="36" customHeight="1">
      <c r="B3" s="1290" t="s">
        <v>129</v>
      </c>
      <c r="C3" s="1290"/>
      <c r="D3" s="1290"/>
      <c r="E3" s="1290"/>
      <c r="F3" s="1290"/>
      <c r="G3" s="1290"/>
    </row>
    <row r="4" spans="2:7" ht="15.75">
      <c r="B4" s="148"/>
      <c r="C4" s="148"/>
      <c r="D4" s="148"/>
      <c r="E4" s="148"/>
      <c r="F4" s="148"/>
      <c r="G4" s="148"/>
    </row>
    <row r="5" spans="1:7" ht="15.75">
      <c r="A5" s="23"/>
      <c r="B5" s="38"/>
      <c r="C5" s="38"/>
      <c r="D5" s="38"/>
      <c r="E5" s="38"/>
      <c r="F5" s="1335" t="s">
        <v>1153</v>
      </c>
      <c r="G5" s="1335"/>
    </row>
    <row r="6" spans="1:5" ht="15.75" customHeight="1">
      <c r="A6" s="22"/>
      <c r="B6" s="22"/>
      <c r="C6" s="22"/>
      <c r="D6" s="22"/>
      <c r="E6" s="22"/>
    </row>
    <row r="7" spans="1:7" ht="32.25" customHeight="1">
      <c r="A7" s="1283" t="s">
        <v>1975</v>
      </c>
      <c r="B7" s="1283" t="s">
        <v>330</v>
      </c>
      <c r="C7" s="1283" t="s">
        <v>331</v>
      </c>
      <c r="D7" s="1336" t="s">
        <v>332</v>
      </c>
      <c r="E7" s="1326" t="s">
        <v>719</v>
      </c>
      <c r="F7" s="1326"/>
      <c r="G7" s="1326"/>
    </row>
    <row r="8" spans="1:7" ht="17.25" customHeight="1">
      <c r="A8" s="1283"/>
      <c r="B8" s="1283"/>
      <c r="C8" s="1283"/>
      <c r="D8" s="1337"/>
      <c r="E8" s="248" t="s">
        <v>1329</v>
      </c>
      <c r="F8" s="248" t="s">
        <v>1018</v>
      </c>
      <c r="G8" s="248" t="s">
        <v>1434</v>
      </c>
    </row>
    <row r="9" spans="1:7" ht="17.25" customHeight="1">
      <c r="A9" s="30">
        <v>1</v>
      </c>
      <c r="B9" s="30">
        <v>2</v>
      </c>
      <c r="C9" s="30">
        <v>3</v>
      </c>
      <c r="D9" s="30">
        <v>4</v>
      </c>
      <c r="E9" s="30">
        <v>5</v>
      </c>
      <c r="F9" s="66">
        <v>6</v>
      </c>
      <c r="G9" s="30">
        <v>7</v>
      </c>
    </row>
    <row r="10" spans="1:7" ht="33.75" customHeight="1">
      <c r="A10" s="1059">
        <v>1</v>
      </c>
      <c r="B10" s="224" t="s">
        <v>1678</v>
      </c>
      <c r="C10" s="19">
        <v>7130601958</v>
      </c>
      <c r="D10" s="1059" t="s">
        <v>1020</v>
      </c>
      <c r="E10" s="1060">
        <f>964.6</f>
        <v>964.6</v>
      </c>
      <c r="F10" s="1061">
        <f>VLOOKUP(C10,'SOR RATE'!A:D,4,0)/1000</f>
        <v>44.989</v>
      </c>
      <c r="G10" s="1061">
        <f>E10*F10</f>
        <v>43396.3894</v>
      </c>
    </row>
    <row r="11" spans="1:7" ht="33.75" customHeight="1">
      <c r="A11" s="1059">
        <v>2</v>
      </c>
      <c r="B11" s="224" t="s">
        <v>1648</v>
      </c>
      <c r="C11" s="19">
        <v>7130601072</v>
      </c>
      <c r="D11" s="3" t="s">
        <v>1070</v>
      </c>
      <c r="E11" s="1060"/>
      <c r="F11" s="1061"/>
      <c r="G11" s="1061"/>
    </row>
    <row r="12" spans="1:7" ht="16.5" customHeight="1">
      <c r="A12" s="1059">
        <v>3</v>
      </c>
      <c r="B12" s="1062" t="s">
        <v>1893</v>
      </c>
      <c r="C12" s="1060">
        <v>7130810608</v>
      </c>
      <c r="D12" s="1059" t="s">
        <v>1023</v>
      </c>
      <c r="E12" s="1059">
        <v>1</v>
      </c>
      <c r="F12" s="1061">
        <f>VLOOKUP(C12,'SOR RATE'!A:D,4,0)</f>
        <v>5377</v>
      </c>
      <c r="G12" s="1061">
        <f aca="true" t="shared" si="0" ref="G12:G40">E12*F12</f>
        <v>5377</v>
      </c>
    </row>
    <row r="13" spans="1:7" s="64" customFormat="1" ht="32.25" customHeight="1">
      <c r="A13" s="1059">
        <v>4</v>
      </c>
      <c r="B13" s="1062" t="s">
        <v>994</v>
      </c>
      <c r="C13" s="1060">
        <v>7130870318</v>
      </c>
      <c r="D13" s="1059" t="s">
        <v>1023</v>
      </c>
      <c r="E13" s="1059">
        <v>6</v>
      </c>
      <c r="F13" s="1061">
        <f>VLOOKUP(C13,'SOR RATE'!A:D,4,0)</f>
        <v>1003</v>
      </c>
      <c r="G13" s="1061">
        <f t="shared" si="0"/>
        <v>6018</v>
      </c>
    </row>
    <row r="14" spans="1:7" ht="30.75" customHeight="1">
      <c r="A14" s="1059">
        <v>5</v>
      </c>
      <c r="B14" s="1062" t="s">
        <v>995</v>
      </c>
      <c r="C14" s="1060">
        <v>7130820312</v>
      </c>
      <c r="D14" s="1059" t="s">
        <v>1023</v>
      </c>
      <c r="E14" s="1059">
        <v>3</v>
      </c>
      <c r="F14" s="1061">
        <f>VLOOKUP(C14,'SOR RATE'!A:D,4,0)</f>
        <v>2183</v>
      </c>
      <c r="G14" s="1061">
        <f t="shared" si="0"/>
        <v>6549</v>
      </c>
    </row>
    <row r="15" spans="1:10" ht="17.25" customHeight="1">
      <c r="A15" s="1059">
        <v>6</v>
      </c>
      <c r="B15" s="922" t="s">
        <v>1155</v>
      </c>
      <c r="C15" s="19">
        <v>7130820011</v>
      </c>
      <c r="D15" s="1059" t="s">
        <v>1023</v>
      </c>
      <c r="E15" s="1059">
        <v>27</v>
      </c>
      <c r="F15" s="1061">
        <f>VLOOKUP(C15,'SOR RATE'!A:D,4,0)</f>
        <v>354</v>
      </c>
      <c r="G15" s="1061">
        <f t="shared" si="0"/>
        <v>9558</v>
      </c>
      <c r="I15" s="1338" t="s">
        <v>1156</v>
      </c>
      <c r="J15" s="1339"/>
    </row>
    <row r="16" spans="1:7" ht="18.75" customHeight="1">
      <c r="A16" s="1059">
        <v>7</v>
      </c>
      <c r="B16" s="1062" t="s">
        <v>1024</v>
      </c>
      <c r="C16" s="1060">
        <v>7130870013</v>
      </c>
      <c r="D16" s="1059" t="s">
        <v>1023</v>
      </c>
      <c r="E16" s="1059">
        <v>2</v>
      </c>
      <c r="F16" s="1061">
        <f>VLOOKUP(C16,'SOR RATE'!A:D,4,0)</f>
        <v>100</v>
      </c>
      <c r="G16" s="1061">
        <f t="shared" si="0"/>
        <v>200</v>
      </c>
    </row>
    <row r="17" spans="1:7" ht="16.5" customHeight="1">
      <c r="A17" s="1343">
        <v>8</v>
      </c>
      <c r="B17" s="956" t="s">
        <v>1943</v>
      </c>
      <c r="C17" s="1064" t="s">
        <v>1032</v>
      </c>
      <c r="D17" s="1059" t="s">
        <v>1023</v>
      </c>
      <c r="E17" s="1059">
        <v>1</v>
      </c>
      <c r="F17" s="1061"/>
      <c r="G17" s="1061"/>
    </row>
    <row r="18" spans="1:7" ht="16.5" customHeight="1">
      <c r="A18" s="1345"/>
      <c r="B18" s="1065" t="s">
        <v>1658</v>
      </c>
      <c r="C18" s="19">
        <v>7130810692</v>
      </c>
      <c r="D18" s="1066" t="s">
        <v>1061</v>
      </c>
      <c r="E18" s="1066">
        <v>4</v>
      </c>
      <c r="F18" s="1061">
        <f>VLOOKUP(C18,'SOR RATE'!A:D,4,0)</f>
        <v>294</v>
      </c>
      <c r="G18" s="1061">
        <f t="shared" si="0"/>
        <v>1176</v>
      </c>
    </row>
    <row r="19" spans="1:7" ht="16.5" customHeight="1">
      <c r="A19" s="1345"/>
      <c r="B19" s="224" t="s">
        <v>1959</v>
      </c>
      <c r="C19" s="19">
        <v>7130810201</v>
      </c>
      <c r="D19" s="3" t="s">
        <v>1061</v>
      </c>
      <c r="E19" s="1066"/>
      <c r="F19" s="1061"/>
      <c r="G19" s="1061"/>
    </row>
    <row r="20" spans="1:7" ht="15.75" customHeight="1">
      <c r="A20" s="1344"/>
      <c r="B20" s="1065" t="s">
        <v>1649</v>
      </c>
      <c r="C20" s="1067">
        <v>7130600032</v>
      </c>
      <c r="D20" s="1066" t="s">
        <v>1070</v>
      </c>
      <c r="E20" s="1066">
        <v>60</v>
      </c>
      <c r="F20" s="1061">
        <f>VLOOKUP(C20,'SOR RATE'!A:D,4,0)/1000</f>
        <v>40.214</v>
      </c>
      <c r="G20" s="1061">
        <f t="shared" si="0"/>
        <v>2412.84</v>
      </c>
    </row>
    <row r="21" spans="1:7" ht="17.25" customHeight="1">
      <c r="A21" s="1059">
        <v>9</v>
      </c>
      <c r="B21" s="1062" t="s">
        <v>1895</v>
      </c>
      <c r="C21" s="1064">
        <v>7130860033</v>
      </c>
      <c r="D21" s="1059" t="s">
        <v>1027</v>
      </c>
      <c r="E21" s="1059">
        <v>6</v>
      </c>
      <c r="F21" s="1061">
        <f>VLOOKUP(C21,'SOR RATE'!A:D,4,0)</f>
        <v>705</v>
      </c>
      <c r="G21" s="1061">
        <f t="shared" si="0"/>
        <v>4230</v>
      </c>
    </row>
    <row r="22" spans="1:7" ht="16.5" customHeight="1">
      <c r="A22" s="1059">
        <v>10</v>
      </c>
      <c r="B22" s="224" t="s">
        <v>1676</v>
      </c>
      <c r="C22" s="19">
        <v>7130810692</v>
      </c>
      <c r="D22" s="1059" t="s">
        <v>1023</v>
      </c>
      <c r="E22" s="1059">
        <v>9</v>
      </c>
      <c r="F22" s="1061">
        <f>VLOOKUP(C22,'SOR RATE'!A:D,4,0)</f>
        <v>294</v>
      </c>
      <c r="G22" s="1061">
        <f t="shared" si="0"/>
        <v>2646</v>
      </c>
    </row>
    <row r="23" spans="1:7" ht="16.5" customHeight="1">
      <c r="A23" s="1059">
        <v>11</v>
      </c>
      <c r="B23" s="224" t="s">
        <v>722</v>
      </c>
      <c r="C23" s="19">
        <v>7130810201</v>
      </c>
      <c r="D23" s="3" t="s">
        <v>1061</v>
      </c>
      <c r="E23" s="1059"/>
      <c r="F23" s="1061"/>
      <c r="G23" s="1061"/>
    </row>
    <row r="24" spans="1:7" ht="16.5" customHeight="1">
      <c r="A24" s="1059">
        <v>12</v>
      </c>
      <c r="B24" s="224" t="s">
        <v>723</v>
      </c>
      <c r="C24" s="19">
        <v>7130810251</v>
      </c>
      <c r="D24" s="3" t="s">
        <v>1061</v>
      </c>
      <c r="E24" s="1059"/>
      <c r="F24" s="1061"/>
      <c r="G24" s="1061"/>
    </row>
    <row r="25" spans="1:7" ht="16.5" customHeight="1">
      <c r="A25" s="1059">
        <v>13</v>
      </c>
      <c r="B25" s="1062" t="s">
        <v>1894</v>
      </c>
      <c r="C25" s="1064">
        <v>7130860076</v>
      </c>
      <c r="D25" s="1059" t="s">
        <v>1020</v>
      </c>
      <c r="E25" s="1059">
        <v>51</v>
      </c>
      <c r="F25" s="1061">
        <f>VLOOKUP(C25,'SOR RATE'!A:D,4,0)/1000</f>
        <v>61.002</v>
      </c>
      <c r="G25" s="1061">
        <f t="shared" si="0"/>
        <v>3111.1020000000003</v>
      </c>
    </row>
    <row r="26" spans="1:7" ht="48" customHeight="1">
      <c r="A26" s="1343">
        <v>14</v>
      </c>
      <c r="B26" s="1062" t="s">
        <v>1650</v>
      </c>
      <c r="C26" s="1064"/>
      <c r="D26" s="1059" t="s">
        <v>1028</v>
      </c>
      <c r="E26" s="1059">
        <f>(0.65*2)+(0.3*6)</f>
        <v>3.0999999999999996</v>
      </c>
      <c r="F26" s="1061"/>
      <c r="G26" s="1061"/>
    </row>
    <row r="27" spans="1:7" ht="18" customHeight="1">
      <c r="A27" s="1344"/>
      <c r="B27" s="1068" t="s">
        <v>1956</v>
      </c>
      <c r="C27" s="1064">
        <v>7130200401</v>
      </c>
      <c r="D27" s="1059" t="s">
        <v>1020</v>
      </c>
      <c r="E27" s="1059">
        <f>3.1*208</f>
        <v>644.8000000000001</v>
      </c>
      <c r="F27" s="1061">
        <f>VLOOKUP(C27,'SOR RATE'!A:D,4,0)/50</f>
        <v>5.36</v>
      </c>
      <c r="G27" s="1061">
        <f>E27*F27</f>
        <v>3456.1280000000006</v>
      </c>
    </row>
    <row r="28" spans="1:7" ht="16.5" customHeight="1">
      <c r="A28" s="1059">
        <v>15</v>
      </c>
      <c r="B28" s="1062" t="s">
        <v>1066</v>
      </c>
      <c r="C28" s="1064">
        <v>7130211158</v>
      </c>
      <c r="D28" s="1059" t="s">
        <v>1030</v>
      </c>
      <c r="E28" s="1059">
        <v>2</v>
      </c>
      <c r="F28" s="1061">
        <f>VLOOKUP(C28,'SOR RATE'!A:D,4,0)</f>
        <v>130</v>
      </c>
      <c r="G28" s="1061">
        <f t="shared" si="0"/>
        <v>260</v>
      </c>
    </row>
    <row r="29" spans="1:7" ht="15.75" customHeight="1">
      <c r="A29" s="1059">
        <v>16</v>
      </c>
      <c r="B29" s="1062" t="s">
        <v>1068</v>
      </c>
      <c r="C29" s="1064">
        <v>7130210809</v>
      </c>
      <c r="D29" s="1059" t="s">
        <v>1030</v>
      </c>
      <c r="E29" s="1059">
        <v>2</v>
      </c>
      <c r="F29" s="1061">
        <f>VLOOKUP(C29,'SOR RATE'!A:D,4,0)</f>
        <v>290</v>
      </c>
      <c r="G29" s="1061">
        <f t="shared" si="0"/>
        <v>580</v>
      </c>
    </row>
    <row r="30" spans="1:7" ht="18.75" customHeight="1">
      <c r="A30" s="1059">
        <v>17</v>
      </c>
      <c r="B30" s="224" t="s">
        <v>430</v>
      </c>
      <c r="C30" s="19">
        <v>7130610206</v>
      </c>
      <c r="D30" s="1059" t="s">
        <v>1070</v>
      </c>
      <c r="E30" s="1059">
        <v>2</v>
      </c>
      <c r="F30" s="1061">
        <f>VLOOKUP(C30,'SOR RATE'!A:D,4,0)/1000</f>
        <v>66.528</v>
      </c>
      <c r="G30" s="1061">
        <f t="shared" si="0"/>
        <v>133.056</v>
      </c>
    </row>
    <row r="31" spans="1:7" ht="15.75" customHeight="1">
      <c r="A31" s="1059">
        <v>18</v>
      </c>
      <c r="B31" s="1062" t="s">
        <v>1896</v>
      </c>
      <c r="C31" s="1064">
        <v>7130880041</v>
      </c>
      <c r="D31" s="1059" t="s">
        <v>1061</v>
      </c>
      <c r="E31" s="1059">
        <v>2</v>
      </c>
      <c r="F31" s="1061">
        <f>VLOOKUP(C31,'SOR RATE'!A:D,4,0)</f>
        <v>74</v>
      </c>
      <c r="G31" s="1061">
        <f t="shared" si="0"/>
        <v>148</v>
      </c>
    </row>
    <row r="32" spans="1:7" ht="17.25" customHeight="1">
      <c r="A32" s="1059">
        <v>19</v>
      </c>
      <c r="B32" s="1062" t="s">
        <v>1577</v>
      </c>
      <c r="C32" s="1064">
        <v>7130810624</v>
      </c>
      <c r="D32" s="1059" t="s">
        <v>1023</v>
      </c>
      <c r="E32" s="1059">
        <v>4</v>
      </c>
      <c r="F32" s="1061">
        <f>VLOOKUP(C32,'SOR RATE'!A:D,4,0)</f>
        <v>90</v>
      </c>
      <c r="G32" s="1061">
        <f t="shared" si="0"/>
        <v>360</v>
      </c>
    </row>
    <row r="33" spans="1:7" ht="15">
      <c r="A33" s="1340">
        <v>20</v>
      </c>
      <c r="B33" s="1069" t="s">
        <v>1031</v>
      </c>
      <c r="C33" s="1064"/>
      <c r="D33" s="1059" t="s">
        <v>1020</v>
      </c>
      <c r="E33" s="1059">
        <v>15</v>
      </c>
      <c r="F33" s="1061"/>
      <c r="G33" s="1061"/>
    </row>
    <row r="34" spans="1:7" ht="15">
      <c r="A34" s="1341"/>
      <c r="B34" s="1070" t="s">
        <v>1033</v>
      </c>
      <c r="C34" s="1064">
        <v>7130620609</v>
      </c>
      <c r="D34" s="1059" t="s">
        <v>1020</v>
      </c>
      <c r="E34" s="1059">
        <v>1</v>
      </c>
      <c r="F34" s="1061">
        <f>VLOOKUP(C34,'SOR RATE'!A:D,4,0)</f>
        <v>64</v>
      </c>
      <c r="G34" s="1061">
        <f t="shared" si="0"/>
        <v>64</v>
      </c>
    </row>
    <row r="35" spans="1:7" ht="15">
      <c r="A35" s="1341"/>
      <c r="B35" s="1070" t="s">
        <v>1034</v>
      </c>
      <c r="C35" s="1064">
        <v>7130620614</v>
      </c>
      <c r="D35" s="1059" t="s">
        <v>1020</v>
      </c>
      <c r="E35" s="1059">
        <v>3</v>
      </c>
      <c r="F35" s="1061">
        <f>VLOOKUP(C35,'SOR RATE'!A:D,4,0)</f>
        <v>63</v>
      </c>
      <c r="G35" s="1061">
        <f t="shared" si="0"/>
        <v>189</v>
      </c>
    </row>
    <row r="36" spans="1:7" ht="15">
      <c r="A36" s="1341"/>
      <c r="B36" s="1070" t="s">
        <v>1035</v>
      </c>
      <c r="C36" s="1064">
        <v>7130620619</v>
      </c>
      <c r="D36" s="1059" t="s">
        <v>1020</v>
      </c>
      <c r="E36" s="1059">
        <v>1</v>
      </c>
      <c r="F36" s="1061">
        <f>VLOOKUP(C36,'SOR RATE'!A:D,4,0)</f>
        <v>63</v>
      </c>
      <c r="G36" s="1061">
        <f t="shared" si="0"/>
        <v>63</v>
      </c>
    </row>
    <row r="37" spans="1:7" ht="15">
      <c r="A37" s="1341"/>
      <c r="B37" s="1070" t="s">
        <v>1036</v>
      </c>
      <c r="C37" s="1064">
        <v>7130620625</v>
      </c>
      <c r="D37" s="1059" t="s">
        <v>1020</v>
      </c>
      <c r="E37" s="1059">
        <v>2</v>
      </c>
      <c r="F37" s="1061">
        <f>VLOOKUP(C37,'SOR RATE'!A:D,4,0)</f>
        <v>62</v>
      </c>
      <c r="G37" s="1061">
        <f t="shared" si="0"/>
        <v>124</v>
      </c>
    </row>
    <row r="38" spans="1:7" ht="15">
      <c r="A38" s="1341"/>
      <c r="B38" s="1070" t="s">
        <v>1037</v>
      </c>
      <c r="C38" s="1064">
        <v>7130620627</v>
      </c>
      <c r="D38" s="1059" t="s">
        <v>1020</v>
      </c>
      <c r="E38" s="1059">
        <v>2</v>
      </c>
      <c r="F38" s="1061">
        <f>VLOOKUP(C38,'SOR RATE'!A:D,4,0)</f>
        <v>62</v>
      </c>
      <c r="G38" s="1061">
        <f t="shared" si="0"/>
        <v>124</v>
      </c>
    </row>
    <row r="39" spans="1:7" ht="15">
      <c r="A39" s="1341"/>
      <c r="B39" s="1070" t="s">
        <v>1038</v>
      </c>
      <c r="C39" s="1064">
        <v>7130620631</v>
      </c>
      <c r="D39" s="1059" t="s">
        <v>1020</v>
      </c>
      <c r="E39" s="1059">
        <v>2</v>
      </c>
      <c r="F39" s="1061">
        <f>VLOOKUP(C39,'SOR RATE'!A:D,4,0)</f>
        <v>62</v>
      </c>
      <c r="G39" s="1061">
        <f t="shared" si="0"/>
        <v>124</v>
      </c>
    </row>
    <row r="40" spans="1:7" ht="15">
      <c r="A40" s="1342"/>
      <c r="B40" s="1070" t="s">
        <v>1039</v>
      </c>
      <c r="C40" s="1071">
        <v>7130620637</v>
      </c>
      <c r="D40" s="1059" t="s">
        <v>1020</v>
      </c>
      <c r="E40" s="1059">
        <v>4</v>
      </c>
      <c r="F40" s="1061">
        <f>VLOOKUP(C40,'SOR RATE'!A:D,4,0)</f>
        <v>62</v>
      </c>
      <c r="G40" s="1061">
        <f t="shared" si="0"/>
        <v>248</v>
      </c>
    </row>
    <row r="41" spans="1:7" ht="15.75">
      <c r="A41" s="1072">
        <v>21</v>
      </c>
      <c r="B41" s="946" t="s">
        <v>771</v>
      </c>
      <c r="C41" s="1064"/>
      <c r="D41" s="1059"/>
      <c r="E41" s="1059"/>
      <c r="F41" s="1061"/>
      <c r="G41" s="1073">
        <f>SUM(G10:G40)</f>
        <v>90547.51539999999</v>
      </c>
    </row>
    <row r="42" spans="1:7" ht="18" customHeight="1">
      <c r="A42" s="1063">
        <v>22</v>
      </c>
      <c r="B42" s="224" t="s">
        <v>770</v>
      </c>
      <c r="C42" s="1074"/>
      <c r="D42" s="1075"/>
      <c r="E42" s="1075"/>
      <c r="F42" s="1076">
        <v>0.09</v>
      </c>
      <c r="G42" s="1076">
        <f>G41*F42</f>
        <v>8149.276385999999</v>
      </c>
    </row>
    <row r="43" spans="1:7" ht="18.75" customHeight="1">
      <c r="A43" s="1059">
        <v>23</v>
      </c>
      <c r="B43" s="1062" t="s">
        <v>1944</v>
      </c>
      <c r="C43" s="1064"/>
      <c r="D43" s="1059" t="s">
        <v>1065</v>
      </c>
      <c r="E43" s="1059">
        <v>3.1</v>
      </c>
      <c r="F43" s="4">
        <f>1664*1.27*1.0891*1.086275*1.1112*1.0685</f>
        <v>2968.460981603261</v>
      </c>
      <c r="G43" s="1061">
        <f>E43*F43</f>
        <v>9202.22904297011</v>
      </c>
    </row>
    <row r="44" spans="1:7" ht="15" customHeight="1">
      <c r="A44" s="1059">
        <v>24</v>
      </c>
      <c r="B44" s="1069" t="s">
        <v>1897</v>
      </c>
      <c r="C44" s="1064"/>
      <c r="D44" s="1059"/>
      <c r="E44" s="1059"/>
      <c r="F44" s="1061"/>
      <c r="G44" s="1061">
        <v>7706.29</v>
      </c>
    </row>
    <row r="45" spans="1:7" ht="48" customHeight="1">
      <c r="A45" s="1059">
        <v>25</v>
      </c>
      <c r="B45" s="1062" t="s">
        <v>1291</v>
      </c>
      <c r="C45" s="1064"/>
      <c r="D45" s="1059" t="s">
        <v>1032</v>
      </c>
      <c r="E45" s="1059"/>
      <c r="F45" s="1061"/>
      <c r="G45" s="1061">
        <f>1.1*2517.9*1.2*1.1*1.1797*1.1402*0.9368</f>
        <v>4606.855522165925</v>
      </c>
    </row>
    <row r="46" spans="1:7" ht="15.75">
      <c r="A46" s="30">
        <v>26</v>
      </c>
      <c r="B46" s="946" t="s">
        <v>772</v>
      </c>
      <c r="C46" s="1064"/>
      <c r="D46" s="1059"/>
      <c r="E46" s="1059"/>
      <c r="F46" s="1061"/>
      <c r="G46" s="6">
        <f>G41+G42+G43+G44+G45</f>
        <v>120212.16635113601</v>
      </c>
    </row>
    <row r="47" spans="1:7" ht="33.75" customHeight="1">
      <c r="A47" s="1059">
        <v>27</v>
      </c>
      <c r="B47" s="224" t="s">
        <v>773</v>
      </c>
      <c r="C47" s="1064"/>
      <c r="D47" s="1059"/>
      <c r="E47" s="1059"/>
      <c r="F47" s="1061">
        <v>0.11</v>
      </c>
      <c r="G47" s="1061">
        <f>G41*F47</f>
        <v>9960.226693999999</v>
      </c>
    </row>
    <row r="48" spans="1:7" ht="18.75" customHeight="1">
      <c r="A48" s="1059">
        <v>28</v>
      </c>
      <c r="B48" s="1062" t="s">
        <v>1046</v>
      </c>
      <c r="C48" s="1064"/>
      <c r="D48" s="1059"/>
      <c r="E48" s="1059"/>
      <c r="F48" s="1061"/>
      <c r="G48" s="1061">
        <f>G46+G47</f>
        <v>130172.393045136</v>
      </c>
    </row>
    <row r="49" spans="1:7" ht="32.25" customHeight="1">
      <c r="A49" s="30">
        <v>29</v>
      </c>
      <c r="B49" s="984" t="s">
        <v>1899</v>
      </c>
      <c r="C49" s="1064"/>
      <c r="D49" s="1059"/>
      <c r="E49" s="1059"/>
      <c r="F49" s="1061"/>
      <c r="G49" s="1073">
        <f>ROUND((G48),0)</f>
        <v>130172</v>
      </c>
    </row>
    <row r="50" spans="1:7" ht="15">
      <c r="A50" s="175"/>
      <c r="B50" s="13"/>
      <c r="C50" s="13"/>
      <c r="D50" s="13"/>
      <c r="E50" s="13"/>
      <c r="F50" s="13"/>
      <c r="G50" s="13"/>
    </row>
    <row r="51" spans="1:7" ht="15">
      <c r="A51" s="175"/>
      <c r="B51" s="7"/>
      <c r="C51" s="13"/>
      <c r="D51" s="13"/>
      <c r="E51" s="13"/>
      <c r="F51" s="13"/>
      <c r="G51" s="13"/>
    </row>
    <row r="52" spans="1:7" ht="15">
      <c r="A52" s="175"/>
      <c r="B52" s="13"/>
      <c r="C52" s="13"/>
      <c r="D52" s="13"/>
      <c r="E52" s="13"/>
      <c r="F52" s="13"/>
      <c r="G52" s="13"/>
    </row>
    <row r="53" spans="1:7" ht="15">
      <c r="A53" s="175"/>
      <c r="B53" s="13"/>
      <c r="C53" s="13"/>
      <c r="D53" s="13"/>
      <c r="E53" s="13"/>
      <c r="F53" s="13"/>
      <c r="G53" s="13"/>
    </row>
    <row r="54" spans="1:7" ht="15">
      <c r="A54" s="175"/>
      <c r="B54" s="13"/>
      <c r="C54" s="13"/>
      <c r="D54" s="13"/>
      <c r="E54" s="13"/>
      <c r="F54" s="13"/>
      <c r="G54" s="13"/>
    </row>
    <row r="55" spans="1:7" ht="15">
      <c r="A55" s="175"/>
      <c r="B55" s="13"/>
      <c r="C55" s="13"/>
      <c r="D55" s="13"/>
      <c r="E55" s="13"/>
      <c r="F55" s="13"/>
      <c r="G55" s="13"/>
    </row>
    <row r="56" spans="1:7" ht="15">
      <c r="A56" s="175"/>
      <c r="B56" s="13"/>
      <c r="C56" s="13"/>
      <c r="D56" s="13"/>
      <c r="E56" s="13"/>
      <c r="F56" s="13"/>
      <c r="G56" s="13"/>
    </row>
    <row r="57" spans="1:7" ht="15">
      <c r="A57" s="175"/>
      <c r="B57" s="13"/>
      <c r="C57" s="13"/>
      <c r="D57" s="13"/>
      <c r="E57" s="13"/>
      <c r="F57" s="13"/>
      <c r="G57" s="13"/>
    </row>
  </sheetData>
  <sheetProtection/>
  <mergeCells count="12">
    <mergeCell ref="A33:A40"/>
    <mergeCell ref="A7:A8"/>
    <mergeCell ref="B7:B8"/>
    <mergeCell ref="C7:C8"/>
    <mergeCell ref="A26:A27"/>
    <mergeCell ref="A17:A20"/>
    <mergeCell ref="B1:D1"/>
    <mergeCell ref="B3:G3"/>
    <mergeCell ref="E7:G7"/>
    <mergeCell ref="F5:G5"/>
    <mergeCell ref="D7:D8"/>
    <mergeCell ref="I15:J15"/>
  </mergeCells>
  <printOptions horizontalCentered="1"/>
  <pageMargins left="0.65" right="0.16" top="0.82" bottom="0.31" header="0.5" footer="0.16"/>
  <pageSetup horizontalDpi="600" verticalDpi="600" orientation="landscape" scale="120" r:id="rId1"/>
</worksheet>
</file>

<file path=xl/worksheets/sheet11.xml><?xml version="1.0" encoding="utf-8"?>
<worksheet xmlns="http://schemas.openxmlformats.org/spreadsheetml/2006/main" xmlns:r="http://schemas.openxmlformats.org/officeDocument/2006/relationships">
  <sheetPr>
    <tabColor indexed="11"/>
  </sheetPr>
  <dimension ref="A1:L92"/>
  <sheetViews>
    <sheetView zoomScalePageLayoutView="0" workbookViewId="0" topLeftCell="A1">
      <pane xSplit="4" ySplit="9" topLeftCell="E10" activePane="bottomRight" state="frozen"/>
      <selection pane="topLeft" activeCell="A1" sqref="A1"/>
      <selection pane="topRight" activeCell="E1" sqref="E1"/>
      <selection pane="bottomLeft" activeCell="A10" sqref="A10"/>
      <selection pane="bottomRight" activeCell="A1" sqref="A1"/>
    </sheetView>
  </sheetViews>
  <sheetFormatPr defaultColWidth="9.140625" defaultRowHeight="12.75"/>
  <cols>
    <col min="1" max="1" width="4.7109375" style="2" customWidth="1"/>
    <col min="2" max="2" width="43.7109375" style="2" customWidth="1"/>
    <col min="3" max="3" width="12.57421875" style="2" customWidth="1"/>
    <col min="4" max="4" width="5.7109375" style="2" bestFit="1" customWidth="1"/>
    <col min="5" max="5" width="9.57421875" style="2" bestFit="1" customWidth="1"/>
    <col min="6" max="6" width="5.00390625" style="2" bestFit="1" customWidth="1"/>
    <col min="7" max="8" width="13.140625" style="2" customWidth="1"/>
    <col min="9" max="9" width="12.140625" style="2" bestFit="1" customWidth="1"/>
    <col min="10" max="10" width="18.7109375" style="2" customWidth="1"/>
    <col min="11" max="11" width="9.140625" style="2" customWidth="1"/>
    <col min="12" max="12" width="11.28125" style="2" customWidth="1"/>
    <col min="13" max="16" width="9.140625" style="2" customWidth="1"/>
    <col min="17" max="17" width="11.00390625" style="2" bestFit="1" customWidth="1"/>
    <col min="18" max="16384" width="9.140625" style="2" customWidth="1"/>
  </cols>
  <sheetData>
    <row r="1" spans="1:10" ht="18">
      <c r="A1" s="145"/>
      <c r="C1" s="1279" t="s">
        <v>997</v>
      </c>
      <c r="D1" s="1279"/>
      <c r="E1" s="1279"/>
      <c r="F1" s="1279"/>
      <c r="G1" s="80"/>
      <c r="H1" s="80"/>
      <c r="I1" s="80"/>
      <c r="J1" s="80"/>
    </row>
    <row r="2" spans="1:8" ht="11.25" customHeight="1">
      <c r="A2" s="81"/>
      <c r="B2" s="81"/>
      <c r="C2" s="81"/>
      <c r="D2" s="81"/>
      <c r="E2" s="81"/>
      <c r="F2" s="81"/>
      <c r="G2" s="81"/>
      <c r="H2" s="81"/>
    </row>
    <row r="3" spans="1:10" ht="50.25" customHeight="1">
      <c r="A3" s="82"/>
      <c r="B3" s="1290" t="s">
        <v>1356</v>
      </c>
      <c r="C3" s="1290"/>
      <c r="D3" s="1290"/>
      <c r="E3" s="1290"/>
      <c r="F3" s="1290"/>
      <c r="G3" s="1290"/>
      <c r="H3" s="82"/>
      <c r="I3" s="45"/>
      <c r="J3" s="45"/>
    </row>
    <row r="4" spans="1:12" ht="10.5" customHeight="1">
      <c r="A4" s="77"/>
      <c r="B4" s="77"/>
      <c r="C4" s="77"/>
      <c r="D4" s="77"/>
      <c r="E4" s="77"/>
      <c r="F4" s="77"/>
      <c r="G4" s="77"/>
      <c r="H4" s="77"/>
      <c r="I4" s="45"/>
      <c r="J4" s="45"/>
      <c r="K4" s="191"/>
      <c r="L4" s="191"/>
    </row>
    <row r="5" spans="1:10" ht="15.75">
      <c r="A5" s="76"/>
      <c r="B5" s="76"/>
      <c r="C5" s="76"/>
      <c r="D5" s="76"/>
      <c r="E5" s="76"/>
      <c r="F5" s="76"/>
      <c r="G5" s="897" t="s">
        <v>1153</v>
      </c>
      <c r="H5" s="200"/>
      <c r="I5" s="176"/>
      <c r="J5" s="176"/>
    </row>
    <row r="6" spans="1:10" ht="10.5" customHeight="1">
      <c r="A6" s="76"/>
      <c r="B6" s="76"/>
      <c r="C6" s="76"/>
      <c r="D6" s="76"/>
      <c r="E6" s="76"/>
      <c r="F6" s="70"/>
      <c r="G6" s="70"/>
      <c r="H6" s="70"/>
      <c r="I6" s="145"/>
      <c r="J6" s="145"/>
    </row>
    <row r="7" spans="1:10" ht="45.75" customHeight="1">
      <c r="A7" s="1322" t="s">
        <v>1947</v>
      </c>
      <c r="B7" s="1347" t="s">
        <v>1057</v>
      </c>
      <c r="C7" s="1349" t="s">
        <v>1331</v>
      </c>
      <c r="D7" s="1347" t="s">
        <v>1058</v>
      </c>
      <c r="E7" s="1347" t="s">
        <v>1018</v>
      </c>
      <c r="F7" s="1351" t="s">
        <v>2189</v>
      </c>
      <c r="G7" s="46" t="s">
        <v>2150</v>
      </c>
      <c r="H7" s="46" t="s">
        <v>1352</v>
      </c>
      <c r="I7" s="149"/>
      <c r="J7" s="145"/>
    </row>
    <row r="8" spans="1:8" ht="16.5" customHeight="1">
      <c r="A8" s="1323"/>
      <c r="B8" s="1348"/>
      <c r="C8" s="1350"/>
      <c r="D8" s="1348"/>
      <c r="E8" s="1348"/>
      <c r="F8" s="1351"/>
      <c r="G8" s="198" t="s">
        <v>1019</v>
      </c>
      <c r="H8" s="198" t="s">
        <v>1019</v>
      </c>
    </row>
    <row r="9" spans="1:8" ht="15">
      <c r="A9" s="83">
        <v>1</v>
      </c>
      <c r="B9" s="83">
        <v>2</v>
      </c>
      <c r="C9" s="83">
        <v>3</v>
      </c>
      <c r="D9" s="83">
        <v>4</v>
      </c>
      <c r="E9" s="83">
        <v>5</v>
      </c>
      <c r="F9" s="83">
        <v>6</v>
      </c>
      <c r="G9" s="83">
        <v>7</v>
      </c>
      <c r="H9" s="83">
        <v>8</v>
      </c>
    </row>
    <row r="10" spans="1:10" ht="14.25">
      <c r="A10" s="1077">
        <v>1</v>
      </c>
      <c r="B10" s="1078" t="s">
        <v>2190</v>
      </c>
      <c r="C10" s="266">
        <v>7132461004</v>
      </c>
      <c r="D10" s="1077" t="s">
        <v>1322</v>
      </c>
      <c r="E10" s="1003">
        <f>VLOOKUP(C10,'SOR RATE'!A:D,4,0)</f>
        <v>1020</v>
      </c>
      <c r="F10" s="1077">
        <v>120</v>
      </c>
      <c r="G10" s="1003">
        <f aca="true" t="shared" si="0" ref="G10:G21">F10*E10</f>
        <v>122400</v>
      </c>
      <c r="H10" s="1003">
        <f>E10*F10</f>
        <v>122400</v>
      </c>
      <c r="I10" s="210"/>
      <c r="J10" s="211"/>
    </row>
    <row r="11" spans="1:10" ht="14.25">
      <c r="A11" s="1077">
        <v>2</v>
      </c>
      <c r="B11" s="1078" t="s">
        <v>2191</v>
      </c>
      <c r="C11" s="266">
        <v>7132461005</v>
      </c>
      <c r="D11" s="1077" t="s">
        <v>1061</v>
      </c>
      <c r="E11" s="1003">
        <f>VLOOKUP(C11,'SOR RATE'!A:D,4,0)</f>
        <v>371</v>
      </c>
      <c r="F11" s="1077">
        <v>38</v>
      </c>
      <c r="G11" s="1003">
        <f t="shared" si="0"/>
        <v>14098</v>
      </c>
      <c r="H11" s="1003">
        <f>E11*F11</f>
        <v>14098</v>
      </c>
      <c r="J11" s="150"/>
    </row>
    <row r="12" spans="1:10" ht="14.25">
      <c r="A12" s="1077">
        <v>3</v>
      </c>
      <c r="B12" s="1079" t="s">
        <v>818</v>
      </c>
      <c r="C12" s="1080">
        <v>7130310075</v>
      </c>
      <c r="D12" s="1077" t="s">
        <v>1322</v>
      </c>
      <c r="E12" s="1003">
        <f>VLOOKUP(C12,'SOR RATE'!A:D,4,0)/1000</f>
        <v>1926.09</v>
      </c>
      <c r="F12" s="1077">
        <v>160</v>
      </c>
      <c r="G12" s="1003">
        <f t="shared" si="0"/>
        <v>308174.39999999997</v>
      </c>
      <c r="H12" s="1003"/>
      <c r="J12" s="145"/>
    </row>
    <row r="13" spans="1:10" ht="14.25">
      <c r="A13" s="1077">
        <v>4</v>
      </c>
      <c r="B13" s="1079" t="s">
        <v>1353</v>
      </c>
      <c r="C13" s="1080">
        <v>7130310020</v>
      </c>
      <c r="D13" s="1077" t="s">
        <v>1322</v>
      </c>
      <c r="E13" s="1003">
        <f>VLOOKUP(C13,'SOR RATE'!A:D,4,0)/1000</f>
        <v>2104.858</v>
      </c>
      <c r="F13" s="1077">
        <v>160</v>
      </c>
      <c r="G13" s="1003"/>
      <c r="H13" s="1003">
        <f>E13*F13</f>
        <v>336777.28</v>
      </c>
      <c r="I13" s="208"/>
      <c r="J13" s="125"/>
    </row>
    <row r="14" spans="1:10" ht="30" customHeight="1">
      <c r="A14" s="1077">
        <v>5</v>
      </c>
      <c r="B14" s="267" t="s">
        <v>817</v>
      </c>
      <c r="C14" s="1081">
        <v>7130352037</v>
      </c>
      <c r="D14" s="233" t="s">
        <v>1022</v>
      </c>
      <c r="E14" s="235">
        <f>VLOOKUP(C14,'SOR RATE'!A:D,4,0)</f>
        <v>21050</v>
      </c>
      <c r="F14" s="233">
        <v>4</v>
      </c>
      <c r="G14" s="235">
        <f t="shared" si="0"/>
        <v>84200</v>
      </c>
      <c r="H14" s="235"/>
      <c r="J14" s="145"/>
    </row>
    <row r="15" spans="1:10" ht="31.5" customHeight="1">
      <c r="A15" s="1077">
        <v>6</v>
      </c>
      <c r="B15" s="1078" t="s">
        <v>1354</v>
      </c>
      <c r="C15" s="1081">
        <v>7130352010</v>
      </c>
      <c r="D15" s="233" t="s">
        <v>1022</v>
      </c>
      <c r="E15" s="235">
        <f>VLOOKUP(C15,'SOR RATE'!A:D,4,0)</f>
        <v>35084</v>
      </c>
      <c r="F15" s="233">
        <v>4</v>
      </c>
      <c r="G15" s="235"/>
      <c r="H15" s="235">
        <f aca="true" t="shared" si="1" ref="H15:H21">E15*F15</f>
        <v>140336</v>
      </c>
      <c r="I15" s="208"/>
      <c r="J15" s="125"/>
    </row>
    <row r="16" spans="1:10" ht="30" customHeight="1">
      <c r="A16" s="1077">
        <v>7</v>
      </c>
      <c r="B16" s="267" t="s">
        <v>2192</v>
      </c>
      <c r="C16" s="1081">
        <v>7130640027</v>
      </c>
      <c r="D16" s="233" t="s">
        <v>1295</v>
      </c>
      <c r="E16" s="235">
        <f>VLOOKUP(C16,'SOR RATE'!A:D,4,0)</f>
        <v>929</v>
      </c>
      <c r="F16" s="233">
        <v>12</v>
      </c>
      <c r="G16" s="235">
        <f>F16*E16</f>
        <v>11148</v>
      </c>
      <c r="H16" s="235">
        <f>E16*F16</f>
        <v>11148</v>
      </c>
      <c r="J16" s="145"/>
    </row>
    <row r="17" spans="1:11" ht="16.5" customHeight="1">
      <c r="A17" s="1077">
        <v>8</v>
      </c>
      <c r="B17" s="1078" t="s">
        <v>1051</v>
      </c>
      <c r="C17" s="1080">
        <v>7130640028</v>
      </c>
      <c r="D17" s="233" t="s">
        <v>1061</v>
      </c>
      <c r="E17" s="235">
        <f>VLOOKUP(C17,'SOR RATE'!A:D,4,0)</f>
        <v>805</v>
      </c>
      <c r="F17" s="233">
        <v>4</v>
      </c>
      <c r="G17" s="235">
        <f t="shared" si="0"/>
        <v>3220</v>
      </c>
      <c r="H17" s="235">
        <f t="shared" si="1"/>
        <v>3220</v>
      </c>
      <c r="J17" s="151"/>
      <c r="K17" s="151"/>
    </row>
    <row r="18" spans="1:11" ht="30" customHeight="1">
      <c r="A18" s="1077">
        <v>9</v>
      </c>
      <c r="B18" s="1078" t="s">
        <v>2193</v>
      </c>
      <c r="C18" s="233">
        <v>7130640029</v>
      </c>
      <c r="D18" s="233" t="s">
        <v>1065</v>
      </c>
      <c r="E18" s="235">
        <f>VLOOKUP(C18,'SOR RATE'!A:D,4,0)</f>
        <v>3220</v>
      </c>
      <c r="F18" s="233">
        <v>4</v>
      </c>
      <c r="G18" s="235">
        <f t="shared" si="0"/>
        <v>12880</v>
      </c>
      <c r="H18" s="235">
        <f t="shared" si="1"/>
        <v>12880</v>
      </c>
      <c r="I18" s="145"/>
      <c r="J18" s="151"/>
      <c r="K18" s="151"/>
    </row>
    <row r="19" spans="1:11" ht="15.75" customHeight="1">
      <c r="A19" s="1077">
        <v>10</v>
      </c>
      <c r="B19" s="1078" t="s">
        <v>1162</v>
      </c>
      <c r="C19" s="233">
        <v>7130600173</v>
      </c>
      <c r="D19" s="233" t="s">
        <v>1323</v>
      </c>
      <c r="E19" s="235">
        <f>VLOOKUP(C19,'SOR RATE'!A:D,4,0)/1000</f>
        <v>40.214</v>
      </c>
      <c r="F19" s="233">
        <v>100</v>
      </c>
      <c r="G19" s="235">
        <f>F19*E19</f>
        <v>4021.3999999999996</v>
      </c>
      <c r="H19" s="235">
        <f t="shared" si="1"/>
        <v>4021.3999999999996</v>
      </c>
      <c r="I19" s="212"/>
      <c r="J19" s="151"/>
      <c r="K19" s="151"/>
    </row>
    <row r="20" spans="1:11" ht="15" customHeight="1">
      <c r="A20" s="1077">
        <v>11</v>
      </c>
      <c r="B20" s="1078" t="s">
        <v>1112</v>
      </c>
      <c r="C20" s="1080">
        <v>7130880006</v>
      </c>
      <c r="D20" s="233" t="s">
        <v>1061</v>
      </c>
      <c r="E20" s="235">
        <f>VLOOKUP(C20,'SOR RATE'!A:D,4,0)</f>
        <v>113</v>
      </c>
      <c r="F20" s="233">
        <v>4</v>
      </c>
      <c r="G20" s="235">
        <f t="shared" si="0"/>
        <v>452</v>
      </c>
      <c r="H20" s="235">
        <f t="shared" si="1"/>
        <v>452</v>
      </c>
      <c r="I20" s="212"/>
      <c r="J20" s="151"/>
      <c r="K20" s="151"/>
    </row>
    <row r="21" spans="1:11" ht="48.75" customHeight="1">
      <c r="A21" s="1077">
        <v>12</v>
      </c>
      <c r="B21" s="1078" t="s">
        <v>1357</v>
      </c>
      <c r="C21" s="233">
        <v>7130642039</v>
      </c>
      <c r="D21" s="233" t="s">
        <v>1061</v>
      </c>
      <c r="E21" s="235">
        <f>VLOOKUP(C21,'SOR RATE'!A:D,4,0)</f>
        <v>820</v>
      </c>
      <c r="F21" s="233">
        <f>4+6</f>
        <v>10</v>
      </c>
      <c r="G21" s="235">
        <f t="shared" si="0"/>
        <v>8200</v>
      </c>
      <c r="H21" s="235">
        <f t="shared" si="1"/>
        <v>8200</v>
      </c>
      <c r="I21" s="212"/>
      <c r="J21" s="213"/>
      <c r="K21" s="151"/>
    </row>
    <row r="22" spans="1:11" ht="16.5" customHeight="1">
      <c r="A22" s="1077">
        <v>13</v>
      </c>
      <c r="B22" s="1078" t="s">
        <v>1052</v>
      </c>
      <c r="C22" s="1082"/>
      <c r="D22" s="1077" t="s">
        <v>1041</v>
      </c>
      <c r="E22" s="1003" t="s">
        <v>1041</v>
      </c>
      <c r="F22" s="1077" t="s">
        <v>1041</v>
      </c>
      <c r="G22" s="1003">
        <f>1.1*2000</f>
        <v>2200</v>
      </c>
      <c r="H22" s="1003">
        <f>+G22</f>
        <v>2200</v>
      </c>
      <c r="I22" s="145"/>
      <c r="J22" s="151"/>
      <c r="K22" s="151"/>
    </row>
    <row r="23" spans="1:11" ht="16.5" customHeight="1">
      <c r="A23" s="1083">
        <v>14</v>
      </c>
      <c r="B23" s="239" t="s">
        <v>771</v>
      </c>
      <c r="C23" s="1084"/>
      <c r="D23" s="268"/>
      <c r="E23" s="1083"/>
      <c r="F23" s="1083"/>
      <c r="G23" s="1085">
        <f>SUM(G10:G22)</f>
        <v>570993.7999999999</v>
      </c>
      <c r="H23" s="1085">
        <f>H10+H11+H13+H15+H16+H17+H18+H19+H20+H21+H22</f>
        <v>655732.68</v>
      </c>
      <c r="I23" s="206"/>
      <c r="J23" s="199"/>
      <c r="K23" s="214"/>
    </row>
    <row r="24" spans="1:11" ht="18" customHeight="1">
      <c r="A24" s="1077">
        <v>15</v>
      </c>
      <c r="B24" s="237" t="s">
        <v>770</v>
      </c>
      <c r="C24" s="1086"/>
      <c r="D24" s="1087"/>
      <c r="E24" s="234">
        <v>0.09</v>
      </c>
      <c r="F24" s="1088"/>
      <c r="G24" s="236">
        <f>G23*E24</f>
        <v>51389.44199999999</v>
      </c>
      <c r="H24" s="236">
        <f>H23*E24</f>
        <v>59015.9412</v>
      </c>
      <c r="I24" s="206"/>
      <c r="J24" s="199"/>
      <c r="K24" s="199"/>
    </row>
    <row r="25" spans="1:11" ht="18" customHeight="1">
      <c r="A25" s="1077">
        <v>16</v>
      </c>
      <c r="B25" s="267" t="s">
        <v>1168</v>
      </c>
      <c r="C25" s="1089"/>
      <c r="D25" s="233" t="s">
        <v>1061</v>
      </c>
      <c r="E25" s="236">
        <f>1417.73*1.086275*1.1112*1.0685</f>
        <v>1828.5215085400541</v>
      </c>
      <c r="F25" s="234">
        <v>10</v>
      </c>
      <c r="G25" s="235">
        <f>E25*F25</f>
        <v>18285.21508540054</v>
      </c>
      <c r="H25" s="235">
        <f>E25*F25</f>
        <v>18285.21508540054</v>
      </c>
      <c r="I25" s="145"/>
      <c r="J25" s="151"/>
      <c r="K25" s="151"/>
    </row>
    <row r="26" spans="1:11" ht="15.75">
      <c r="A26" s="1077">
        <v>17</v>
      </c>
      <c r="B26" s="1090" t="s">
        <v>1055</v>
      </c>
      <c r="C26" s="1090"/>
      <c r="D26" s="1090"/>
      <c r="E26" s="1091"/>
      <c r="F26" s="1091"/>
      <c r="G26" s="1023">
        <v>1393425.33</v>
      </c>
      <c r="H26" s="1023">
        <f>G26</f>
        <v>1393425.33</v>
      </c>
      <c r="I26" s="118"/>
      <c r="J26" s="154"/>
      <c r="K26" s="151"/>
    </row>
    <row r="27" spans="1:11" ht="18" customHeight="1">
      <c r="A27" s="233">
        <v>18</v>
      </c>
      <c r="B27" s="267" t="s">
        <v>1053</v>
      </c>
      <c r="C27" s="1090"/>
      <c r="D27" s="1090"/>
      <c r="E27" s="1091"/>
      <c r="F27" s="1091"/>
      <c r="G27" s="236">
        <f>1.1*50000*1.1797*1.1402*0.9368</f>
        <v>69304.62016456001</v>
      </c>
      <c r="H27" s="236">
        <f>+G27</f>
        <v>69304.62016456001</v>
      </c>
      <c r="I27" s="145"/>
      <c r="J27" s="145"/>
      <c r="K27" s="145"/>
    </row>
    <row r="28" spans="1:11" ht="15">
      <c r="A28" s="1083">
        <v>19</v>
      </c>
      <c r="B28" s="239" t="s">
        <v>772</v>
      </c>
      <c r="C28" s="1090"/>
      <c r="D28" s="1090"/>
      <c r="E28" s="1091"/>
      <c r="F28" s="1091"/>
      <c r="G28" s="1092">
        <f>G23+G24+G25+G26+G27</f>
        <v>2103398.4072499606</v>
      </c>
      <c r="H28" s="1092">
        <f>H23+H24+H25+H26+H27</f>
        <v>2195763.786449961</v>
      </c>
      <c r="I28" s="208"/>
      <c r="J28" s="215"/>
      <c r="K28" s="145"/>
    </row>
    <row r="29" spans="1:11" ht="45.75" customHeight="1">
      <c r="A29" s="1077">
        <v>20</v>
      </c>
      <c r="B29" s="237" t="s">
        <v>773</v>
      </c>
      <c r="C29" s="1090"/>
      <c r="D29" s="1090"/>
      <c r="E29" s="233">
        <v>0.11</v>
      </c>
      <c r="F29" s="1091"/>
      <c r="G29" s="236">
        <f>G23*E29</f>
        <v>62809.31799999999</v>
      </c>
      <c r="H29" s="236">
        <f>H23*E29</f>
        <v>72130.5948</v>
      </c>
      <c r="I29" s="208"/>
      <c r="J29" s="215"/>
      <c r="K29" s="145"/>
    </row>
    <row r="30" spans="1:11" ht="28.5">
      <c r="A30" s="1077">
        <v>21</v>
      </c>
      <c r="B30" s="267" t="s">
        <v>1164</v>
      </c>
      <c r="C30" s="1093">
        <v>0.15</v>
      </c>
      <c r="D30" s="267"/>
      <c r="E30" s="233"/>
      <c r="F30" s="233"/>
      <c r="G30" s="236">
        <f>G28*0.15</f>
        <v>315509.7610874941</v>
      </c>
      <c r="H30" s="236">
        <f>H28*0.15</f>
        <v>329364.56796749413</v>
      </c>
      <c r="I30" s="212"/>
      <c r="J30" s="145"/>
      <c r="K30" s="145"/>
    </row>
    <row r="31" spans="1:8" ht="16.5" customHeight="1">
      <c r="A31" s="1077">
        <v>22</v>
      </c>
      <c r="B31" s="267" t="s">
        <v>1054</v>
      </c>
      <c r="C31" s="1090"/>
      <c r="D31" s="1090"/>
      <c r="E31" s="1091"/>
      <c r="F31" s="1091"/>
      <c r="G31" s="1023">
        <f>G28+G29+G30</f>
        <v>2481717.4863374545</v>
      </c>
      <c r="H31" s="1023">
        <f>H28+H29+H30</f>
        <v>2597258.949217455</v>
      </c>
    </row>
    <row r="32" spans="1:8" ht="30">
      <c r="A32" s="1083">
        <v>23</v>
      </c>
      <c r="B32" s="1094" t="s">
        <v>374</v>
      </c>
      <c r="C32" s="1090"/>
      <c r="D32" s="1090"/>
      <c r="E32" s="1091"/>
      <c r="F32" s="1091"/>
      <c r="G32" s="240">
        <f>ROUND(G31,0)</f>
        <v>2481717</v>
      </c>
      <c r="H32" s="240">
        <f>ROUND(H31,0)</f>
        <v>2597259</v>
      </c>
    </row>
    <row r="33" spans="1:8" ht="14.25">
      <c r="A33" s="84"/>
      <c r="B33" s="84"/>
      <c r="C33" s="84"/>
      <c r="D33" s="84"/>
      <c r="E33" s="84"/>
      <c r="F33" s="84"/>
      <c r="G33" s="84"/>
      <c r="H33" s="84"/>
    </row>
    <row r="34" spans="1:2" ht="20.25">
      <c r="A34" s="152" t="s">
        <v>1294</v>
      </c>
      <c r="B34" s="125" t="s">
        <v>1170</v>
      </c>
    </row>
    <row r="35" spans="1:2" ht="20.25">
      <c r="A35" s="152" t="s">
        <v>1169</v>
      </c>
      <c r="B35" s="125" t="s">
        <v>942</v>
      </c>
    </row>
    <row r="53" spans="2:9" ht="12.75">
      <c r="B53" s="151"/>
      <c r="C53" s="151"/>
      <c r="D53" s="151"/>
      <c r="E53" s="151"/>
      <c r="F53" s="151"/>
      <c r="G53" s="151"/>
      <c r="H53" s="151"/>
      <c r="I53" s="151"/>
    </row>
    <row r="54" spans="2:9" ht="12.75">
      <c r="B54" s="151"/>
      <c r="C54" s="151"/>
      <c r="D54" s="151"/>
      <c r="E54" s="151"/>
      <c r="F54" s="151"/>
      <c r="G54" s="151"/>
      <c r="H54" s="151"/>
      <c r="I54" s="151"/>
    </row>
    <row r="55" spans="2:9" ht="18" customHeight="1">
      <c r="B55" s="151"/>
      <c r="C55" s="151"/>
      <c r="D55" s="151"/>
      <c r="E55" s="151"/>
      <c r="F55" s="151"/>
      <c r="G55" s="151"/>
      <c r="H55" s="151"/>
      <c r="I55" s="151"/>
    </row>
    <row r="56" spans="2:9" ht="13.5" customHeight="1">
      <c r="B56" s="151"/>
      <c r="C56" s="151"/>
      <c r="D56" s="151"/>
      <c r="E56" s="151"/>
      <c r="F56" s="151"/>
      <c r="G56" s="151"/>
      <c r="H56" s="151"/>
      <c r="I56" s="151"/>
    </row>
    <row r="57" spans="2:9" s="153" customFormat="1" ht="12.75">
      <c r="B57" s="151"/>
      <c r="C57" s="151"/>
      <c r="D57" s="151"/>
      <c r="E57" s="151"/>
      <c r="F57" s="151"/>
      <c r="G57" s="151"/>
      <c r="H57" s="151"/>
      <c r="I57" s="151"/>
    </row>
    <row r="58" spans="1:9" ht="15.75">
      <c r="A58" s="154"/>
      <c r="B58" s="151"/>
      <c r="C58" s="151"/>
      <c r="D58" s="151"/>
      <c r="E58" s="151"/>
      <c r="F58" s="151"/>
      <c r="G58" s="151"/>
      <c r="H58" s="151"/>
      <c r="I58" s="151"/>
    </row>
    <row r="59" spans="1:9" ht="15.75">
      <c r="A59" s="70"/>
      <c r="B59" s="151"/>
      <c r="C59" s="151"/>
      <c r="D59" s="151"/>
      <c r="E59" s="151"/>
      <c r="F59" s="151"/>
      <c r="G59" s="151"/>
      <c r="H59" s="151"/>
      <c r="I59" s="151"/>
    </row>
    <row r="60" spans="1:9" ht="15.75">
      <c r="A60" s="70"/>
      <c r="B60" s="151"/>
      <c r="C60" s="151"/>
      <c r="D60" s="151"/>
      <c r="E60" s="151"/>
      <c r="F60" s="151"/>
      <c r="G60" s="151"/>
      <c r="H60" s="151"/>
      <c r="I60" s="151"/>
    </row>
    <row r="61" spans="1:10" ht="15.75" customHeight="1">
      <c r="A61" s="82"/>
      <c r="B61" s="151"/>
      <c r="C61" s="151"/>
      <c r="D61" s="151"/>
      <c r="E61" s="151"/>
      <c r="F61" s="151"/>
      <c r="G61" s="151"/>
      <c r="H61" s="151"/>
      <c r="I61" s="151"/>
      <c r="J61" s="145"/>
    </row>
    <row r="62" spans="1:9" ht="16.5" customHeight="1">
      <c r="A62" s="82"/>
      <c r="B62" s="151"/>
      <c r="C62" s="151"/>
      <c r="D62" s="151"/>
      <c r="E62" s="151"/>
      <c r="F62" s="151"/>
      <c r="G62" s="151"/>
      <c r="H62" s="151"/>
      <c r="I62" s="151"/>
    </row>
    <row r="63" spans="1:9" ht="15.75">
      <c r="A63" s="70"/>
      <c r="B63" s="151"/>
      <c r="C63" s="151"/>
      <c r="D63" s="151"/>
      <c r="E63" s="151"/>
      <c r="F63" s="151"/>
      <c r="G63" s="151"/>
      <c r="H63" s="151"/>
      <c r="I63" s="151"/>
    </row>
    <row r="64" spans="1:9" ht="15">
      <c r="A64" s="155"/>
      <c r="B64" s="151"/>
      <c r="C64" s="151"/>
      <c r="D64" s="151"/>
      <c r="E64" s="151"/>
      <c r="F64" s="151"/>
      <c r="G64" s="151"/>
      <c r="H64" s="151"/>
      <c r="I64" s="151"/>
    </row>
    <row r="65" spans="1:9" ht="15">
      <c r="A65" s="155"/>
      <c r="B65" s="151"/>
      <c r="C65" s="151"/>
      <c r="D65" s="151"/>
      <c r="E65" s="151"/>
      <c r="F65" s="151"/>
      <c r="G65" s="151"/>
      <c r="H65" s="151"/>
      <c r="I65" s="151"/>
    </row>
    <row r="66" spans="1:9" ht="15">
      <c r="A66" s="155"/>
      <c r="B66" s="151"/>
      <c r="C66" s="151"/>
      <c r="D66" s="151"/>
      <c r="E66" s="151"/>
      <c r="F66" s="151"/>
      <c r="G66" s="151"/>
      <c r="H66" s="151"/>
      <c r="I66" s="151"/>
    </row>
    <row r="67" spans="1:9" ht="15">
      <c r="A67" s="155"/>
      <c r="B67" s="151"/>
      <c r="C67" s="151"/>
      <c r="D67" s="151"/>
      <c r="E67" s="151"/>
      <c r="F67" s="151"/>
      <c r="G67" s="151"/>
      <c r="H67" s="151"/>
      <c r="I67" s="151"/>
    </row>
    <row r="68" spans="1:9" ht="15.75" customHeight="1">
      <c r="A68" s="155"/>
      <c r="B68" s="151"/>
      <c r="C68" s="151"/>
      <c r="D68" s="151"/>
      <c r="E68" s="151"/>
      <c r="F68" s="151"/>
      <c r="G68" s="151"/>
      <c r="H68" s="151"/>
      <c r="I68" s="151"/>
    </row>
    <row r="69" spans="1:9" ht="15">
      <c r="A69" s="155"/>
      <c r="B69" s="151"/>
      <c r="C69" s="151"/>
      <c r="D69" s="151"/>
      <c r="E69" s="151"/>
      <c r="F69" s="151"/>
      <c r="G69" s="151"/>
      <c r="H69" s="151"/>
      <c r="I69" s="151"/>
    </row>
    <row r="70" spans="1:9" ht="15">
      <c r="A70" s="155"/>
      <c r="B70" s="151"/>
      <c r="C70" s="151"/>
      <c r="D70" s="151"/>
      <c r="E70" s="151"/>
      <c r="F70" s="151"/>
      <c r="G70" s="151"/>
      <c r="H70" s="151"/>
      <c r="I70" s="151"/>
    </row>
    <row r="71" spans="1:9" ht="15">
      <c r="A71" s="155"/>
      <c r="B71" s="151"/>
      <c r="C71" s="151"/>
      <c r="D71" s="151"/>
      <c r="E71" s="151"/>
      <c r="F71" s="151"/>
      <c r="G71" s="151"/>
      <c r="H71" s="151"/>
      <c r="I71" s="151"/>
    </row>
    <row r="72" spans="1:9" ht="15">
      <c r="A72" s="155"/>
      <c r="B72" s="151"/>
      <c r="C72" s="151"/>
      <c r="D72" s="151"/>
      <c r="E72" s="151"/>
      <c r="F72" s="151"/>
      <c r="G72" s="151"/>
      <c r="H72" s="151"/>
      <c r="I72" s="151"/>
    </row>
    <row r="73" spans="1:9" ht="15">
      <c r="A73" s="87"/>
      <c r="B73" s="151"/>
      <c r="C73" s="151"/>
      <c r="D73" s="151"/>
      <c r="E73" s="151"/>
      <c r="F73" s="151"/>
      <c r="G73" s="151"/>
      <c r="H73" s="151"/>
      <c r="I73" s="151"/>
    </row>
    <row r="74" spans="1:9" ht="15">
      <c r="A74" s="87"/>
      <c r="B74" s="151"/>
      <c r="C74" s="151"/>
      <c r="D74" s="151"/>
      <c r="E74" s="151"/>
      <c r="F74" s="151"/>
      <c r="G74" s="151"/>
      <c r="H74" s="151"/>
      <c r="I74" s="151"/>
    </row>
    <row r="75" spans="1:9" ht="15">
      <c r="A75" s="156"/>
      <c r="B75" s="151"/>
      <c r="C75" s="151"/>
      <c r="D75" s="151"/>
      <c r="E75" s="151"/>
      <c r="F75" s="151"/>
      <c r="G75" s="151"/>
      <c r="H75" s="151"/>
      <c r="I75" s="151"/>
    </row>
    <row r="76" spans="1:9" ht="15">
      <c r="A76" s="156"/>
      <c r="B76" s="151"/>
      <c r="C76" s="151"/>
      <c r="D76" s="151"/>
      <c r="E76" s="151"/>
      <c r="F76" s="151"/>
      <c r="G76" s="151"/>
      <c r="H76" s="151"/>
      <c r="I76" s="151"/>
    </row>
    <row r="77" spans="1:9" ht="15">
      <c r="A77" s="156"/>
      <c r="B77" s="151"/>
      <c r="C77" s="151"/>
      <c r="D77" s="151"/>
      <c r="E77" s="151"/>
      <c r="F77" s="151"/>
      <c r="G77" s="151"/>
      <c r="H77" s="151"/>
      <c r="I77" s="151"/>
    </row>
    <row r="78" spans="1:9" ht="15">
      <c r="A78" s="156"/>
      <c r="B78" s="151"/>
      <c r="C78" s="151"/>
      <c r="D78" s="151"/>
      <c r="E78" s="151"/>
      <c r="F78" s="151"/>
      <c r="G78" s="151"/>
      <c r="H78" s="151"/>
      <c r="I78" s="151"/>
    </row>
    <row r="79" spans="1:9" ht="15.75" customHeight="1">
      <c r="A79" s="90"/>
      <c r="B79" s="151"/>
      <c r="C79" s="151"/>
      <c r="D79" s="151"/>
      <c r="E79" s="151"/>
      <c r="F79" s="151"/>
      <c r="G79" s="151"/>
      <c r="H79" s="151"/>
      <c r="I79" s="151"/>
    </row>
    <row r="80" spans="1:9" ht="15" customHeight="1">
      <c r="A80" s="1346"/>
      <c r="B80" s="151"/>
      <c r="C80" s="151"/>
      <c r="D80" s="151"/>
      <c r="E80" s="151"/>
      <c r="F80" s="151"/>
      <c r="G80" s="151"/>
      <c r="H80" s="151"/>
      <c r="I80" s="151"/>
    </row>
    <row r="81" spans="1:9" ht="15" customHeight="1">
      <c r="A81" s="1346"/>
      <c r="B81" s="151"/>
      <c r="C81" s="151"/>
      <c r="D81" s="151"/>
      <c r="E81" s="151"/>
      <c r="F81" s="151"/>
      <c r="G81" s="151"/>
      <c r="H81" s="151"/>
      <c r="I81" s="151"/>
    </row>
    <row r="82" spans="1:9" ht="15" customHeight="1">
      <c r="A82" s="1346"/>
      <c r="B82" s="151"/>
      <c r="C82" s="151"/>
      <c r="D82" s="151"/>
      <c r="E82" s="151"/>
      <c r="F82" s="151"/>
      <c r="G82" s="151"/>
      <c r="H82" s="151"/>
      <c r="I82" s="151"/>
    </row>
    <row r="83" spans="1:9" ht="15" customHeight="1">
      <c r="A83" s="1346"/>
      <c r="B83" s="151"/>
      <c r="C83" s="151"/>
      <c r="D83" s="151"/>
      <c r="E83" s="151"/>
      <c r="F83" s="151"/>
      <c r="G83" s="151"/>
      <c r="H83" s="151"/>
      <c r="I83" s="151"/>
    </row>
    <row r="84" spans="1:9" ht="15" customHeight="1">
      <c r="A84" s="1346"/>
      <c r="B84" s="151"/>
      <c r="C84" s="151"/>
      <c r="D84" s="151"/>
      <c r="E84" s="151"/>
      <c r="F84" s="151"/>
      <c r="G84" s="151"/>
      <c r="H84" s="151"/>
      <c r="I84" s="151"/>
    </row>
    <row r="85" spans="1:9" ht="15">
      <c r="A85" s="85"/>
      <c r="B85" s="151"/>
      <c r="C85" s="151"/>
      <c r="D85" s="151"/>
      <c r="E85" s="151"/>
      <c r="F85" s="151"/>
      <c r="G85" s="151"/>
      <c r="H85" s="151"/>
      <c r="I85" s="151"/>
    </row>
    <row r="86" spans="1:9" ht="15">
      <c r="A86" s="85"/>
      <c r="B86" s="151"/>
      <c r="C86" s="151"/>
      <c r="D86" s="151"/>
      <c r="E86" s="151"/>
      <c r="F86" s="151"/>
      <c r="G86" s="151"/>
      <c r="H86" s="151"/>
      <c r="I86" s="151"/>
    </row>
    <row r="87" spans="1:9" ht="15.75" customHeight="1">
      <c r="A87" s="85"/>
      <c r="B87" s="151"/>
      <c r="C87" s="151"/>
      <c r="D87" s="151"/>
      <c r="E87" s="151"/>
      <c r="F87" s="151"/>
      <c r="G87" s="151"/>
      <c r="H87" s="151"/>
      <c r="I87" s="151"/>
    </row>
    <row r="88" spans="1:9" ht="15">
      <c r="A88" s="85"/>
      <c r="B88" s="151"/>
      <c r="C88" s="151"/>
      <c r="D88" s="151"/>
      <c r="E88" s="151"/>
      <c r="F88" s="151"/>
      <c r="G88" s="151"/>
      <c r="H88" s="151"/>
      <c r="I88" s="151"/>
    </row>
    <row r="89" spans="1:9" ht="15.75" customHeight="1">
      <c r="A89" s="85"/>
      <c r="B89" s="151"/>
      <c r="C89" s="151"/>
      <c r="D89" s="151"/>
      <c r="E89" s="151"/>
      <c r="F89" s="151"/>
      <c r="G89" s="151"/>
      <c r="H89" s="151"/>
      <c r="I89" s="151"/>
    </row>
    <row r="90" spans="1:9" ht="30.75" customHeight="1">
      <c r="A90" s="157"/>
      <c r="B90" s="151"/>
      <c r="C90" s="151"/>
      <c r="D90" s="151"/>
      <c r="E90" s="151"/>
      <c r="F90" s="151"/>
      <c r="G90" s="151"/>
      <c r="H90" s="151"/>
      <c r="I90" s="151"/>
    </row>
    <row r="91" spans="1:9" ht="15">
      <c r="A91" s="68"/>
      <c r="B91" s="151"/>
      <c r="C91" s="151"/>
      <c r="D91" s="151"/>
      <c r="E91" s="151"/>
      <c r="F91" s="151"/>
      <c r="G91" s="151"/>
      <c r="H91" s="151"/>
      <c r="I91" s="151"/>
    </row>
    <row r="92" spans="1:9" ht="15">
      <c r="A92" s="68"/>
      <c r="B92" s="151"/>
      <c r="C92" s="151"/>
      <c r="D92" s="151"/>
      <c r="E92" s="151"/>
      <c r="F92" s="151"/>
      <c r="G92" s="151"/>
      <c r="H92" s="151"/>
      <c r="I92" s="151"/>
    </row>
  </sheetData>
  <sheetProtection/>
  <mergeCells count="9">
    <mergeCell ref="C1:F1"/>
    <mergeCell ref="A80:A84"/>
    <mergeCell ref="A7:A8"/>
    <mergeCell ref="B7:B8"/>
    <mergeCell ref="C7:C8"/>
    <mergeCell ref="B3:G3"/>
    <mergeCell ref="D7:D8"/>
    <mergeCell ref="E7:E8"/>
    <mergeCell ref="F7:F8"/>
  </mergeCells>
  <printOptions horizontalCentered="1"/>
  <pageMargins left="0.56" right="0.15" top="0.8" bottom="0.32" header="0.5" footer="0.19"/>
  <pageSetup horizontalDpi="600" verticalDpi="600" orientation="portrait" paperSize="9" scale="90" r:id="rId2"/>
  <drawing r:id="rId1"/>
</worksheet>
</file>

<file path=xl/worksheets/sheet12.xml><?xml version="1.0" encoding="utf-8"?>
<worksheet xmlns="http://schemas.openxmlformats.org/spreadsheetml/2006/main" xmlns:r="http://schemas.openxmlformats.org/officeDocument/2006/relationships">
  <sheetPr>
    <tabColor indexed="11"/>
  </sheetPr>
  <dimension ref="A1:M45"/>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2.75"/>
  <cols>
    <col min="1" max="1" width="5.57421875" style="79" customWidth="1"/>
    <col min="2" max="2" width="41.8515625" style="2" customWidth="1"/>
    <col min="3" max="3" width="12.7109375" style="2" customWidth="1"/>
    <col min="4" max="4" width="6.00390625" style="2" customWidth="1"/>
    <col min="5" max="5" width="9.57421875" style="2" bestFit="1" customWidth="1"/>
    <col min="6" max="6" width="5.57421875" style="2" bestFit="1" customWidth="1"/>
    <col min="7" max="7" width="11.7109375" style="2" customWidth="1"/>
    <col min="8" max="8" width="14.00390625" style="2" customWidth="1"/>
    <col min="9" max="9" width="23.8515625" style="2" customWidth="1"/>
    <col min="10" max="10" width="11.140625" style="2" bestFit="1" customWidth="1"/>
    <col min="11" max="11" width="9.140625" style="2" customWidth="1"/>
    <col min="12" max="12" width="15.421875" style="2" customWidth="1"/>
    <col min="13" max="16384" width="9.140625" style="2" customWidth="1"/>
  </cols>
  <sheetData>
    <row r="1" spans="2:13" ht="20.25">
      <c r="B1" s="1279" t="s">
        <v>1918</v>
      </c>
      <c r="C1" s="1279"/>
      <c r="D1" s="1279"/>
      <c r="E1" s="1279"/>
      <c r="F1" s="31"/>
      <c r="G1" s="31"/>
      <c r="H1" s="31"/>
      <c r="I1" s="158"/>
      <c r="J1" s="158"/>
      <c r="K1" s="158"/>
      <c r="L1" s="158"/>
      <c r="M1" s="158"/>
    </row>
    <row r="2" spans="1:13" ht="11.25" customHeight="1">
      <c r="A2" s="32"/>
      <c r="B2" s="32"/>
      <c r="C2" s="32"/>
      <c r="D2" s="32"/>
      <c r="E2" s="32"/>
      <c r="F2" s="32"/>
      <c r="G2" s="32"/>
      <c r="H2" s="32"/>
      <c r="I2" s="158"/>
      <c r="J2" s="158"/>
      <c r="K2" s="158"/>
      <c r="L2" s="158"/>
      <c r="M2" s="158"/>
    </row>
    <row r="3" spans="2:13" ht="50.25" customHeight="1">
      <c r="B3" s="1290" t="s">
        <v>816</v>
      </c>
      <c r="C3" s="1290"/>
      <c r="D3" s="1290"/>
      <c r="E3" s="1290"/>
      <c r="F3" s="1290"/>
      <c r="G3" s="1290"/>
      <c r="H3" s="33"/>
      <c r="I3" s="158"/>
      <c r="J3" s="158"/>
      <c r="K3" s="158"/>
      <c r="L3" s="158"/>
      <c r="M3" s="158"/>
    </row>
    <row r="4" spans="1:13" ht="12" customHeight="1">
      <c r="A4" s="217"/>
      <c r="B4" s="217"/>
      <c r="C4" s="217"/>
      <c r="D4" s="217"/>
      <c r="E4" s="217"/>
      <c r="F4" s="217"/>
      <c r="G4" s="217"/>
      <c r="H4" s="217"/>
      <c r="I4" s="158"/>
      <c r="J4" s="158"/>
      <c r="K4" s="158"/>
      <c r="L4" s="158"/>
      <c r="M4" s="158"/>
    </row>
    <row r="5" spans="1:13" ht="15.75">
      <c r="A5" s="34"/>
      <c r="B5" s="34"/>
      <c r="C5" s="34"/>
      <c r="D5" s="34"/>
      <c r="E5" s="34"/>
      <c r="F5" s="34"/>
      <c r="G5" s="906" t="s">
        <v>1153</v>
      </c>
      <c r="H5" s="34"/>
      <c r="I5" s="158"/>
      <c r="J5" s="158"/>
      <c r="K5" s="158"/>
      <c r="L5" s="158"/>
      <c r="M5" s="158"/>
    </row>
    <row r="6" spans="1:13" ht="10.5" customHeight="1">
      <c r="A6" s="178"/>
      <c r="B6" s="37"/>
      <c r="C6" s="37"/>
      <c r="D6" s="37"/>
      <c r="E6" s="37"/>
      <c r="F6" s="37"/>
      <c r="G6" s="37"/>
      <c r="H6" s="37"/>
      <c r="I6" s="158"/>
      <c r="J6" s="158"/>
      <c r="K6" s="158"/>
      <c r="L6" s="158"/>
      <c r="M6" s="158"/>
    </row>
    <row r="7" spans="1:13" ht="31.5" customHeight="1">
      <c r="A7" s="30" t="s">
        <v>1947</v>
      </c>
      <c r="B7" s="35" t="s">
        <v>1057</v>
      </c>
      <c r="C7" s="30" t="s">
        <v>331</v>
      </c>
      <c r="D7" s="169" t="s">
        <v>1058</v>
      </c>
      <c r="E7" s="169" t="s">
        <v>1018</v>
      </c>
      <c r="F7" s="169" t="s">
        <v>2189</v>
      </c>
      <c r="G7" s="169" t="s">
        <v>1019</v>
      </c>
      <c r="H7" s="36"/>
      <c r="I7" s="158"/>
      <c r="J7" s="158"/>
      <c r="K7" s="158"/>
      <c r="L7" s="158"/>
      <c r="M7" s="158"/>
    </row>
    <row r="8" spans="1:13" ht="15" customHeight="1">
      <c r="A8" s="83">
        <v>1</v>
      </c>
      <c r="B8" s="83">
        <v>2</v>
      </c>
      <c r="C8" s="170">
        <v>3</v>
      </c>
      <c r="D8" s="83">
        <v>4</v>
      </c>
      <c r="E8" s="83">
        <v>5</v>
      </c>
      <c r="F8" s="83">
        <v>6</v>
      </c>
      <c r="G8" s="83">
        <v>7</v>
      </c>
      <c r="H8" s="159"/>
      <c r="I8" s="160"/>
      <c r="J8" s="160"/>
      <c r="K8" s="158"/>
      <c r="L8" s="158"/>
      <c r="M8" s="158"/>
    </row>
    <row r="9" spans="1:13" ht="17.25" customHeight="1">
      <c r="A9" s="1077">
        <v>1</v>
      </c>
      <c r="B9" s="267" t="s">
        <v>1296</v>
      </c>
      <c r="C9" s="1095"/>
      <c r="D9" s="1096"/>
      <c r="E9" s="1097"/>
      <c r="F9" s="1097"/>
      <c r="G9" s="1098"/>
      <c r="H9" s="161"/>
      <c r="I9" s="161"/>
      <c r="J9" s="161"/>
      <c r="K9" s="158"/>
      <c r="L9" s="158"/>
      <c r="M9" s="158"/>
    </row>
    <row r="10" spans="1:13" ht="16.5" customHeight="1">
      <c r="A10" s="269" t="s">
        <v>1048</v>
      </c>
      <c r="B10" s="1078" t="s">
        <v>1049</v>
      </c>
      <c r="C10" s="1099">
        <v>7130640030</v>
      </c>
      <c r="D10" s="1077" t="s">
        <v>1130</v>
      </c>
      <c r="E10" s="1003">
        <f>VLOOKUP(C10,'SOR RATE'!A:D,4,0)</f>
        <v>3857</v>
      </c>
      <c r="F10" s="1077"/>
      <c r="G10" s="1003"/>
      <c r="H10" s="159"/>
      <c r="I10" s="160"/>
      <c r="J10" s="160"/>
      <c r="K10" s="158"/>
      <c r="L10" s="158"/>
      <c r="M10" s="158"/>
    </row>
    <row r="11" spans="1:13" ht="16.5" customHeight="1">
      <c r="A11" s="269" t="s">
        <v>1072</v>
      </c>
      <c r="B11" s="1078" t="s">
        <v>1050</v>
      </c>
      <c r="C11" s="1099">
        <v>7130640036</v>
      </c>
      <c r="D11" s="1077" t="s">
        <v>1130</v>
      </c>
      <c r="E11" s="1003">
        <f>VLOOKUP(C11,'SOR RATE'!A:D,4,0)</f>
        <v>7661</v>
      </c>
      <c r="F11" s="1077">
        <v>50</v>
      </c>
      <c r="G11" s="1003">
        <f>F11*E11</f>
        <v>383050</v>
      </c>
      <c r="H11" s="159"/>
      <c r="I11" s="160"/>
      <c r="J11" s="160"/>
      <c r="K11" s="158"/>
      <c r="L11" s="158"/>
      <c r="M11" s="158"/>
    </row>
    <row r="12" spans="1:13" ht="16.5" customHeight="1">
      <c r="A12" s="1077">
        <v>2</v>
      </c>
      <c r="B12" s="1001" t="s">
        <v>818</v>
      </c>
      <c r="C12" s="1080">
        <v>7130310075</v>
      </c>
      <c r="D12" s="1077" t="s">
        <v>1322</v>
      </c>
      <c r="E12" s="1003">
        <f>VLOOKUP(C12,'SOR RATE'!A:D,4,0)/1000</f>
        <v>1926.09</v>
      </c>
      <c r="F12" s="1077">
        <v>50</v>
      </c>
      <c r="G12" s="1003">
        <f aca="true" t="shared" si="0" ref="G12:G17">F12*E12</f>
        <v>96304.5</v>
      </c>
      <c r="H12" s="162"/>
      <c r="I12" s="162"/>
      <c r="J12" s="101"/>
      <c r="K12" s="101"/>
      <c r="L12" s="101"/>
      <c r="M12" s="158"/>
    </row>
    <row r="13" spans="1:13" ht="33" customHeight="1">
      <c r="A13" s="1077">
        <v>3</v>
      </c>
      <c r="B13" s="1078" t="s">
        <v>1113</v>
      </c>
      <c r="C13" s="1099">
        <v>7130352037</v>
      </c>
      <c r="D13" s="1077" t="s">
        <v>1022</v>
      </c>
      <c r="E13" s="1003">
        <f>VLOOKUP(C13,'SOR RATE'!A:D,4,0)</f>
        <v>21050</v>
      </c>
      <c r="F13" s="1077">
        <v>2</v>
      </c>
      <c r="G13" s="1003">
        <f t="shared" si="0"/>
        <v>42100</v>
      </c>
      <c r="H13" s="163"/>
      <c r="I13" s="163"/>
      <c r="J13" s="159"/>
      <c r="K13" s="158"/>
      <c r="L13" s="158"/>
      <c r="M13" s="158"/>
    </row>
    <row r="14" spans="1:13" ht="47.25" customHeight="1">
      <c r="A14" s="1077">
        <v>4</v>
      </c>
      <c r="B14" s="1078" t="s">
        <v>1945</v>
      </c>
      <c r="C14" s="1099"/>
      <c r="D14" s="1077" t="s">
        <v>1061</v>
      </c>
      <c r="E14" s="1003">
        <f>1.1*450</f>
        <v>495.00000000000006</v>
      </c>
      <c r="F14" s="1077">
        <v>40</v>
      </c>
      <c r="G14" s="1003">
        <f t="shared" si="0"/>
        <v>19800.000000000004</v>
      </c>
      <c r="H14" s="159"/>
      <c r="I14" s="160"/>
      <c r="J14" s="160"/>
      <c r="K14" s="158"/>
      <c r="L14" s="158"/>
      <c r="M14" s="158"/>
    </row>
    <row r="15" spans="1:13" ht="30.75" customHeight="1">
      <c r="A15" s="1100">
        <v>5</v>
      </c>
      <c r="B15" s="1078" t="s">
        <v>982</v>
      </c>
      <c r="C15" s="1099">
        <v>7130640027</v>
      </c>
      <c r="D15" s="1077" t="s">
        <v>1295</v>
      </c>
      <c r="E15" s="1003">
        <f>VLOOKUP(C15,'SOR RATE'!A:D,4,0)</f>
        <v>929</v>
      </c>
      <c r="F15" s="1077">
        <v>12</v>
      </c>
      <c r="G15" s="1003">
        <f t="shared" si="0"/>
        <v>11148</v>
      </c>
      <c r="H15" s="145"/>
      <c r="I15" s="160"/>
      <c r="J15" s="160"/>
      <c r="K15" s="158"/>
      <c r="L15" s="158"/>
      <c r="M15" s="158"/>
    </row>
    <row r="16" spans="1:13" ht="19.5" customHeight="1">
      <c r="A16" s="1100">
        <v>6</v>
      </c>
      <c r="B16" s="1078" t="s">
        <v>941</v>
      </c>
      <c r="C16" s="1099">
        <v>7130640028</v>
      </c>
      <c r="D16" s="1101" t="s">
        <v>1061</v>
      </c>
      <c r="E16" s="1003">
        <f>VLOOKUP(C16,'SOR RATE'!A:D,4,0)</f>
        <v>805</v>
      </c>
      <c r="F16" s="1101">
        <v>2</v>
      </c>
      <c r="G16" s="1102">
        <f t="shared" si="0"/>
        <v>1610</v>
      </c>
      <c r="H16" s="36"/>
      <c r="I16" s="158"/>
      <c r="J16" s="158"/>
      <c r="K16" s="158"/>
      <c r="L16" s="158"/>
      <c r="M16" s="158"/>
    </row>
    <row r="17" spans="1:13" ht="32.25" customHeight="1">
      <c r="A17" s="1100">
        <v>7</v>
      </c>
      <c r="B17" s="1078" t="s">
        <v>1946</v>
      </c>
      <c r="C17" s="1078"/>
      <c r="D17" s="1077" t="s">
        <v>1065</v>
      </c>
      <c r="E17" s="1003">
        <f>+'A-6'!E18</f>
        <v>3220</v>
      </c>
      <c r="F17" s="1077">
        <v>2</v>
      </c>
      <c r="G17" s="1003">
        <f t="shared" si="0"/>
        <v>6440</v>
      </c>
      <c r="H17" s="36"/>
      <c r="I17" s="158"/>
      <c r="J17" s="158"/>
      <c r="K17" s="158"/>
      <c r="L17" s="158"/>
      <c r="M17" s="158"/>
    </row>
    <row r="18" spans="1:13" ht="16.5" customHeight="1">
      <c r="A18" s="1100">
        <v>8</v>
      </c>
      <c r="B18" s="1078" t="s">
        <v>1052</v>
      </c>
      <c r="C18" s="1078"/>
      <c r="D18" s="1077" t="s">
        <v>1041</v>
      </c>
      <c r="E18" s="1003" t="s">
        <v>1041</v>
      </c>
      <c r="F18" s="1077" t="s">
        <v>1041</v>
      </c>
      <c r="G18" s="1003">
        <f>1.1*2000</f>
        <v>2200</v>
      </c>
      <c r="H18" s="36"/>
      <c r="I18" s="158"/>
      <c r="J18" s="158"/>
      <c r="K18" s="158"/>
      <c r="L18" s="158"/>
      <c r="M18" s="158"/>
    </row>
    <row r="19" spans="1:13" ht="15.75" customHeight="1">
      <c r="A19" s="1103">
        <v>9</v>
      </c>
      <c r="B19" s="239" t="s">
        <v>771</v>
      </c>
      <c r="C19" s="1104"/>
      <c r="D19" s="1083"/>
      <c r="E19" s="1083"/>
      <c r="F19" s="1083"/>
      <c r="G19" s="1085">
        <f>SUM(G10:G18)</f>
        <v>562652.5</v>
      </c>
      <c r="H19" s="206"/>
      <c r="I19" s="117"/>
      <c r="J19" s="197"/>
      <c r="K19" s="158"/>
      <c r="L19" s="158"/>
      <c r="M19" s="158"/>
    </row>
    <row r="20" spans="1:13" ht="18" customHeight="1">
      <c r="A20" s="1105">
        <v>10</v>
      </c>
      <c r="B20" s="237" t="s">
        <v>770</v>
      </c>
      <c r="C20" s="1106"/>
      <c r="D20" s="1107"/>
      <c r="E20" s="1091">
        <v>0.09</v>
      </c>
      <c r="F20" s="1091"/>
      <c r="G20" s="1108">
        <f>G19*E20</f>
        <v>50638.725</v>
      </c>
      <c r="H20" s="206"/>
      <c r="I20" s="199"/>
      <c r="J20" s="199"/>
      <c r="K20" s="158"/>
      <c r="L20" s="158"/>
      <c r="M20" s="158"/>
    </row>
    <row r="21" spans="1:13" ht="43.5">
      <c r="A21" s="929">
        <v>11</v>
      </c>
      <c r="B21" s="1090" t="s">
        <v>1919</v>
      </c>
      <c r="C21" s="1090"/>
      <c r="D21" s="1091"/>
      <c r="E21" s="1091"/>
      <c r="F21" s="1091"/>
      <c r="G21" s="236">
        <v>9226.06</v>
      </c>
      <c r="H21" s="118"/>
      <c r="I21" s="193"/>
      <c r="J21" s="158"/>
      <c r="K21" s="158"/>
      <c r="L21" s="158"/>
      <c r="M21" s="158"/>
    </row>
    <row r="22" spans="1:13" ht="15" customHeight="1">
      <c r="A22" s="1008">
        <v>12</v>
      </c>
      <c r="B22" s="239" t="s">
        <v>772</v>
      </c>
      <c r="C22" s="1090"/>
      <c r="D22" s="1091"/>
      <c r="E22" s="1091"/>
      <c r="F22" s="1091"/>
      <c r="G22" s="240">
        <f>G19+G20+G21</f>
        <v>622517.285</v>
      </c>
      <c r="H22" s="208"/>
      <c r="I22" s="125"/>
      <c r="J22" s="158"/>
      <c r="K22" s="158"/>
      <c r="L22" s="158"/>
      <c r="M22" s="158"/>
    </row>
    <row r="23" spans="1:13" ht="48.75" customHeight="1">
      <c r="A23" s="929">
        <v>13</v>
      </c>
      <c r="B23" s="237" t="s">
        <v>773</v>
      </c>
      <c r="C23" s="1090"/>
      <c r="D23" s="1091"/>
      <c r="E23" s="233">
        <v>0.11</v>
      </c>
      <c r="F23" s="233"/>
      <c r="G23" s="236">
        <f>G19*E23</f>
        <v>61891.775</v>
      </c>
      <c r="H23" s="208"/>
      <c r="I23" s="125"/>
      <c r="J23" s="158"/>
      <c r="K23" s="158"/>
      <c r="L23" s="158"/>
      <c r="M23" s="158"/>
    </row>
    <row r="24" spans="1:13" ht="29.25">
      <c r="A24" s="929">
        <v>14</v>
      </c>
      <c r="B24" s="1090" t="s">
        <v>1920</v>
      </c>
      <c r="C24" s="1090"/>
      <c r="D24" s="233" t="s">
        <v>1041</v>
      </c>
      <c r="E24" s="233"/>
      <c r="F24" s="233"/>
      <c r="G24" s="236">
        <v>112000</v>
      </c>
      <c r="H24" s="36"/>
      <c r="I24" s="158"/>
      <c r="J24" s="158"/>
      <c r="K24" s="158"/>
      <c r="L24" s="158"/>
      <c r="M24" s="158"/>
    </row>
    <row r="25" spans="1:13" ht="15.75" customHeight="1">
      <c r="A25" s="929">
        <v>15</v>
      </c>
      <c r="B25" s="1090" t="s">
        <v>1054</v>
      </c>
      <c r="C25" s="1090"/>
      <c r="D25" s="1091"/>
      <c r="E25" s="1091"/>
      <c r="F25" s="1091"/>
      <c r="G25" s="1023">
        <f>G22+G23+G24</f>
        <v>796409.06</v>
      </c>
      <c r="H25" s="36"/>
      <c r="I25" s="158"/>
      <c r="J25" s="158"/>
      <c r="K25" s="158"/>
      <c r="L25" s="158"/>
      <c r="M25" s="158"/>
    </row>
    <row r="26" spans="1:13" ht="32.25" customHeight="1">
      <c r="A26" s="1008">
        <v>16</v>
      </c>
      <c r="B26" s="268" t="s">
        <v>1921</v>
      </c>
      <c r="C26" s="268"/>
      <c r="D26" s="1091"/>
      <c r="E26" s="1091"/>
      <c r="F26" s="1091"/>
      <c r="G26" s="921">
        <f>ROUND(G25,0)</f>
        <v>796409</v>
      </c>
      <c r="H26" s="194"/>
      <c r="I26" s="158"/>
      <c r="J26" s="158"/>
      <c r="K26" s="158"/>
      <c r="L26" s="158"/>
      <c r="M26" s="158"/>
    </row>
    <row r="27" spans="1:13" ht="15">
      <c r="A27" s="929">
        <v>17</v>
      </c>
      <c r="B27" s="1109" t="s">
        <v>1922</v>
      </c>
      <c r="C27" s="1109"/>
      <c r="D27" s="1091"/>
      <c r="E27" s="1091"/>
      <c r="F27" s="1091"/>
      <c r="G27" s="1023">
        <f>1.1*50000*1.1797*1.1402*0.9368</f>
        <v>69304.62016456001</v>
      </c>
      <c r="H27" s="28"/>
      <c r="I27" s="171"/>
      <c r="J27" s="171"/>
      <c r="K27" s="171"/>
      <c r="L27" s="171"/>
      <c r="M27" s="171"/>
    </row>
    <row r="28" spans="1:13" ht="17.25" customHeight="1">
      <c r="A28" s="234">
        <v>18</v>
      </c>
      <c r="B28" s="267" t="s">
        <v>1923</v>
      </c>
      <c r="C28" s="1090"/>
      <c r="D28" s="1091"/>
      <c r="E28" s="1091"/>
      <c r="F28" s="1091"/>
      <c r="G28" s="236">
        <f>G26+G27</f>
        <v>865713.62016456</v>
      </c>
      <c r="H28" s="28"/>
      <c r="I28" s="171"/>
      <c r="J28" s="171"/>
      <c r="K28" s="171"/>
      <c r="L28" s="171"/>
      <c r="M28" s="171"/>
    </row>
    <row r="29" spans="1:13" ht="17.25" customHeight="1">
      <c r="A29" s="1110" t="s">
        <v>1351</v>
      </c>
      <c r="B29" s="1111" t="s">
        <v>1350</v>
      </c>
      <c r="C29" s="1109"/>
      <c r="D29" s="1112"/>
      <c r="E29" s="1113"/>
      <c r="F29" s="1114"/>
      <c r="G29" s="1115">
        <f>ROUND(G28,0)</f>
        <v>865714</v>
      </c>
      <c r="H29" s="208"/>
      <c r="I29" s="125"/>
      <c r="J29" s="171"/>
      <c r="K29" s="171"/>
      <c r="L29" s="171"/>
      <c r="M29" s="171"/>
    </row>
    <row r="38" spans="1:7" ht="15.75">
      <c r="A38" s="179"/>
      <c r="B38" s="70"/>
      <c r="C38" s="145"/>
      <c r="D38" s="145"/>
      <c r="E38" s="145"/>
      <c r="F38" s="145"/>
      <c r="G38" s="145"/>
    </row>
    <row r="39" spans="1:7" ht="12.75">
      <c r="A39" s="179"/>
      <c r="B39" s="145"/>
      <c r="C39" s="145"/>
      <c r="D39" s="145"/>
      <c r="E39" s="145"/>
      <c r="F39" s="145"/>
      <c r="G39" s="145"/>
    </row>
    <row r="40" spans="1:7" ht="14.25">
      <c r="A40" s="166"/>
      <c r="B40" s="164"/>
      <c r="C40" s="164"/>
      <c r="D40" s="163"/>
      <c r="E40" s="163"/>
      <c r="F40" s="163"/>
      <c r="G40" s="163"/>
    </row>
    <row r="41" spans="1:7" ht="14.25">
      <c r="A41" s="166"/>
      <c r="B41" s="165"/>
      <c r="C41" s="165"/>
      <c r="D41" s="166"/>
      <c r="E41" s="167"/>
      <c r="F41" s="166"/>
      <c r="G41" s="167"/>
    </row>
    <row r="42" spans="1:7" ht="15">
      <c r="A42" s="166"/>
      <c r="B42" s="164"/>
      <c r="C42" s="164"/>
      <c r="D42" s="168"/>
      <c r="E42" s="168"/>
      <c r="F42" s="168"/>
      <c r="G42" s="168"/>
    </row>
    <row r="43" spans="1:7" ht="14.25">
      <c r="A43" s="166"/>
      <c r="B43" s="165"/>
      <c r="C43" s="165"/>
      <c r="D43" s="166"/>
      <c r="E43" s="167"/>
      <c r="F43" s="166"/>
      <c r="G43" s="167"/>
    </row>
    <row r="44" spans="1:7" ht="14.25">
      <c r="A44" s="166"/>
      <c r="B44" s="165"/>
      <c r="C44" s="165"/>
      <c r="D44" s="166"/>
      <c r="E44" s="167"/>
      <c r="F44" s="166"/>
      <c r="G44" s="167"/>
    </row>
    <row r="45" spans="1:7" ht="14.25">
      <c r="A45" s="166"/>
      <c r="B45" s="165"/>
      <c r="C45" s="165"/>
      <c r="D45" s="166"/>
      <c r="E45" s="167"/>
      <c r="F45" s="166"/>
      <c r="G45" s="167"/>
    </row>
  </sheetData>
  <sheetProtection/>
  <mergeCells count="2">
    <mergeCell ref="B3:G3"/>
    <mergeCell ref="B1:E1"/>
  </mergeCells>
  <printOptions/>
  <pageMargins left="0.95" right="0.16" top="0.75" bottom="0.43" header="0.39" footer="0.16"/>
  <pageSetup horizontalDpi="600" verticalDpi="600" orientation="portrait" r:id="rId1"/>
  <ignoredErrors>
    <ignoredError sqref="A29" numberStoredAsText="1"/>
  </ignoredErrors>
</worksheet>
</file>

<file path=xl/worksheets/sheet13.xml><?xml version="1.0" encoding="utf-8"?>
<worksheet xmlns="http://schemas.openxmlformats.org/spreadsheetml/2006/main" xmlns:r="http://schemas.openxmlformats.org/officeDocument/2006/relationships">
  <sheetPr>
    <tabColor indexed="11"/>
  </sheetPr>
  <dimension ref="A1:N45"/>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9.140625" defaultRowHeight="12.75"/>
  <cols>
    <col min="1" max="1" width="4.57421875" style="2" customWidth="1"/>
    <col min="2" max="2" width="44.140625" style="2" customWidth="1"/>
    <col min="3" max="3" width="11.57421875" style="2" customWidth="1"/>
    <col min="4" max="4" width="5.57421875" style="2" customWidth="1"/>
    <col min="5" max="5" width="9.7109375" style="2" customWidth="1"/>
    <col min="6" max="6" width="5.57421875" style="2" customWidth="1"/>
    <col min="7" max="7" width="13.8515625" style="2" customWidth="1"/>
    <col min="8" max="8" width="14.28125" style="2" customWidth="1"/>
    <col min="9" max="9" width="11.8515625" style="2" customWidth="1"/>
    <col min="10" max="10" width="12.421875" style="2" customWidth="1"/>
    <col min="11" max="11" width="13.8515625" style="2" customWidth="1"/>
    <col min="12" max="16384" width="9.140625" style="2" customWidth="1"/>
  </cols>
  <sheetData>
    <row r="1" spans="2:5" ht="18">
      <c r="B1" s="1279" t="s">
        <v>372</v>
      </c>
      <c r="C1" s="1279"/>
      <c r="D1" s="1279"/>
      <c r="E1" s="1279"/>
    </row>
    <row r="2" ht="15">
      <c r="H2" s="897" t="s">
        <v>1153</v>
      </c>
    </row>
    <row r="3" spans="2:8" ht="18">
      <c r="B3" s="1356" t="s">
        <v>373</v>
      </c>
      <c r="C3" s="1356"/>
      <c r="D3" s="1356"/>
      <c r="E3" s="1356"/>
      <c r="F3" s="1356"/>
      <c r="G3" s="1356"/>
      <c r="H3" s="1356"/>
    </row>
    <row r="4" spans="2:9" ht="12.75" customHeight="1">
      <c r="B4" s="892"/>
      <c r="C4" s="892"/>
      <c r="D4" s="892"/>
      <c r="E4" s="892"/>
      <c r="F4" s="892"/>
      <c r="G4" s="892"/>
      <c r="H4" s="892"/>
      <c r="I4" s="97"/>
    </row>
    <row r="5" spans="1:8" ht="45.75" customHeight="1">
      <c r="A5" s="1353" t="s">
        <v>1947</v>
      </c>
      <c r="B5" s="1353" t="s">
        <v>1057</v>
      </c>
      <c r="C5" s="1353" t="s">
        <v>360</v>
      </c>
      <c r="D5" s="1353" t="s">
        <v>1058</v>
      </c>
      <c r="E5" s="1353" t="s">
        <v>361</v>
      </c>
      <c r="F5" s="1353" t="s">
        <v>1329</v>
      </c>
      <c r="G5" s="1326" t="s">
        <v>1651</v>
      </c>
      <c r="H5" s="1326"/>
    </row>
    <row r="6" spans="1:14" ht="45" customHeight="1">
      <c r="A6" s="1353"/>
      <c r="B6" s="1353"/>
      <c r="C6" s="1353"/>
      <c r="D6" s="1353"/>
      <c r="E6" s="1353"/>
      <c r="F6" s="1353"/>
      <c r="G6" s="46" t="s">
        <v>2149</v>
      </c>
      <c r="H6" s="46" t="s">
        <v>2150</v>
      </c>
      <c r="I6" s="901"/>
      <c r="J6" s="901"/>
      <c r="K6" s="145"/>
      <c r="L6" s="902"/>
      <c r="M6" s="902"/>
      <c r="N6" s="145"/>
    </row>
    <row r="7" spans="1:8" ht="13.5">
      <c r="A7" s="172">
        <v>1</v>
      </c>
      <c r="B7" s="172">
        <v>2</v>
      </c>
      <c r="C7" s="172">
        <v>3</v>
      </c>
      <c r="D7" s="172">
        <v>4</v>
      </c>
      <c r="E7" s="172">
        <v>5</v>
      </c>
      <c r="F7" s="172">
        <v>6</v>
      </c>
      <c r="G7" s="172">
        <v>7</v>
      </c>
      <c r="H7" s="172">
        <v>8</v>
      </c>
    </row>
    <row r="8" spans="1:13" ht="28.5" customHeight="1">
      <c r="A8" s="270">
        <v>1</v>
      </c>
      <c r="B8" s="250" t="s">
        <v>1657</v>
      </c>
      <c r="C8" s="255">
        <v>7130601958</v>
      </c>
      <c r="D8" s="251" t="s">
        <v>1070</v>
      </c>
      <c r="E8" s="271">
        <f>VLOOKUP(C8,'SOR RATE'!A:D,4,0)/1000</f>
        <v>44.989</v>
      </c>
      <c r="F8" s="1116">
        <v>482.3</v>
      </c>
      <c r="G8" s="271">
        <f>E8*F8</f>
        <v>21698.1947</v>
      </c>
      <c r="H8" s="271">
        <f>E8*F8</f>
        <v>21698.1947</v>
      </c>
      <c r="I8" s="42"/>
      <c r="J8" s="42"/>
      <c r="K8" s="104"/>
      <c r="L8" s="104"/>
      <c r="M8" s="104"/>
    </row>
    <row r="9" spans="1:13" ht="28.5" customHeight="1">
      <c r="A9" s="270">
        <v>2</v>
      </c>
      <c r="B9" s="250" t="s">
        <v>717</v>
      </c>
      <c r="C9" s="255">
        <v>7130601072</v>
      </c>
      <c r="D9" s="251" t="s">
        <v>1070</v>
      </c>
      <c r="E9" s="271">
        <f>VLOOKUP(C9,'SOR RATE'!A:D,4,0)/1000</f>
        <v>47.741</v>
      </c>
      <c r="F9" s="1116">
        <v>780</v>
      </c>
      <c r="G9" s="271"/>
      <c r="H9" s="271"/>
      <c r="I9" s="42"/>
      <c r="J9" s="42"/>
      <c r="K9" s="104"/>
      <c r="L9" s="104"/>
      <c r="M9" s="104"/>
    </row>
    <row r="10" spans="1:8" ht="15" customHeight="1">
      <c r="A10" s="270">
        <v>3</v>
      </c>
      <c r="B10" s="272" t="s">
        <v>1110</v>
      </c>
      <c r="C10" s="255">
        <v>7130310053</v>
      </c>
      <c r="D10" s="270" t="s">
        <v>1025</v>
      </c>
      <c r="E10" s="271">
        <f>VLOOKUP(C10,'SOR RATE'!A:D,4,0)/1000</f>
        <v>1180.744</v>
      </c>
      <c r="F10" s="270">
        <v>50</v>
      </c>
      <c r="G10" s="271">
        <f>E10*F10</f>
        <v>59037.2</v>
      </c>
      <c r="H10" s="270"/>
    </row>
    <row r="11" spans="1:8" ht="15.75" customHeight="1">
      <c r="A11" s="270">
        <v>4</v>
      </c>
      <c r="B11" s="272" t="s">
        <v>1111</v>
      </c>
      <c r="C11" s="255">
        <v>7130310054</v>
      </c>
      <c r="D11" s="270" t="s">
        <v>1025</v>
      </c>
      <c r="E11" s="271">
        <f>VLOOKUP(C11,'SOR RATE'!A:D,4,0)/1000</f>
        <v>1501.438</v>
      </c>
      <c r="F11" s="270">
        <v>50</v>
      </c>
      <c r="G11" s="270"/>
      <c r="H11" s="271">
        <f>E11*F11</f>
        <v>75071.90000000001</v>
      </c>
    </row>
    <row r="12" spans="1:8" ht="30" customHeight="1">
      <c r="A12" s="270">
        <v>5</v>
      </c>
      <c r="B12" s="273" t="s">
        <v>2151</v>
      </c>
      <c r="C12" s="270">
        <v>7130320039</v>
      </c>
      <c r="D12" s="270" t="s">
        <v>1022</v>
      </c>
      <c r="E12" s="271">
        <f>VLOOKUP(C12,'SOR RATE'!A:D,4,0)</f>
        <v>14859</v>
      </c>
      <c r="F12" s="270">
        <v>2</v>
      </c>
      <c r="G12" s="271">
        <f>E12*F12</f>
        <v>29718</v>
      </c>
      <c r="H12" s="271"/>
    </row>
    <row r="13" spans="1:8" ht="30" customHeight="1">
      <c r="A13" s="270">
        <v>6</v>
      </c>
      <c r="B13" s="273" t="s">
        <v>1109</v>
      </c>
      <c r="C13" s="270">
        <v>7130320040</v>
      </c>
      <c r="D13" s="270" t="s">
        <v>1022</v>
      </c>
      <c r="E13" s="271">
        <f>VLOOKUP(C13,'SOR RATE'!A:D,4,0)</f>
        <v>17336</v>
      </c>
      <c r="F13" s="270">
        <v>2</v>
      </c>
      <c r="G13" s="271"/>
      <c r="H13" s="271">
        <f>E13*F13</f>
        <v>34672</v>
      </c>
    </row>
    <row r="14" spans="1:8" ht="16.5" customHeight="1">
      <c r="A14" s="270">
        <v>7</v>
      </c>
      <c r="B14" s="272" t="s">
        <v>362</v>
      </c>
      <c r="C14" s="270">
        <v>7130870013</v>
      </c>
      <c r="D14" s="270" t="s">
        <v>1023</v>
      </c>
      <c r="E14" s="271">
        <f>VLOOKUP(C14,'SOR RATE'!A:D,4,0)</f>
        <v>100</v>
      </c>
      <c r="F14" s="270">
        <v>1</v>
      </c>
      <c r="G14" s="271">
        <f aca="true" t="shared" si="0" ref="G14:G31">E14*F14</f>
        <v>100</v>
      </c>
      <c r="H14" s="271">
        <f>E14*F14</f>
        <v>100</v>
      </c>
    </row>
    <row r="15" spans="1:8" ht="15.75" customHeight="1">
      <c r="A15" s="270">
        <v>8</v>
      </c>
      <c r="B15" s="274" t="s">
        <v>363</v>
      </c>
      <c r="C15" s="270">
        <v>7130810681</v>
      </c>
      <c r="D15" s="270" t="s">
        <v>1023</v>
      </c>
      <c r="E15" s="271">
        <f>VLOOKUP(C15,'SOR RATE'!A:D,4,0)</f>
        <v>3227</v>
      </c>
      <c r="F15" s="270">
        <v>2</v>
      </c>
      <c r="G15" s="271">
        <f t="shared" si="0"/>
        <v>6454</v>
      </c>
      <c r="H15" s="271">
        <f>E15*F15</f>
        <v>6454</v>
      </c>
    </row>
    <row r="16" spans="1:8" ht="14.25" customHeight="1">
      <c r="A16" s="270">
        <v>9</v>
      </c>
      <c r="B16" s="274" t="s">
        <v>364</v>
      </c>
      <c r="C16" s="270">
        <v>7130860033</v>
      </c>
      <c r="D16" s="270" t="s">
        <v>1061</v>
      </c>
      <c r="E16" s="271">
        <f>VLOOKUP(C16,'SOR RATE'!A:D,4,0)</f>
        <v>705</v>
      </c>
      <c r="F16" s="270">
        <v>2</v>
      </c>
      <c r="G16" s="271">
        <f t="shared" si="0"/>
        <v>1410</v>
      </c>
      <c r="H16" s="271">
        <f>E16*F16</f>
        <v>1410</v>
      </c>
    </row>
    <row r="17" spans="1:8" ht="16.5" customHeight="1">
      <c r="A17" s="270">
        <v>10</v>
      </c>
      <c r="B17" s="274" t="s">
        <v>365</v>
      </c>
      <c r="C17" s="270">
        <v>7130860076</v>
      </c>
      <c r="D17" s="270" t="s">
        <v>1070</v>
      </c>
      <c r="E17" s="271">
        <f>VLOOKUP(C17,'SOR RATE'!A:D,4,0)/1000</f>
        <v>61.002</v>
      </c>
      <c r="F17" s="270">
        <v>17</v>
      </c>
      <c r="G17" s="271">
        <f t="shared" si="0"/>
        <v>1037.034</v>
      </c>
      <c r="H17" s="271">
        <f>E17*F17</f>
        <v>1037.034</v>
      </c>
    </row>
    <row r="18" spans="1:10" ht="30" customHeight="1">
      <c r="A18" s="1354">
        <v>11</v>
      </c>
      <c r="B18" s="254" t="s">
        <v>1931</v>
      </c>
      <c r="C18" s="270"/>
      <c r="D18" s="276" t="s">
        <v>1065</v>
      </c>
      <c r="E18" s="1117"/>
      <c r="F18" s="277">
        <f>0.65+0.6</f>
        <v>1.25</v>
      </c>
      <c r="G18" s="271"/>
      <c r="H18" s="271"/>
      <c r="I18" s="1"/>
      <c r="J18" s="1"/>
    </row>
    <row r="19" spans="1:8" ht="13.5" customHeight="1">
      <c r="A19" s="1355"/>
      <c r="B19" s="278" t="s">
        <v>987</v>
      </c>
      <c r="C19" s="270">
        <v>7130200401</v>
      </c>
      <c r="D19" s="270" t="s">
        <v>1070</v>
      </c>
      <c r="E19" s="271">
        <f>VLOOKUP(C19,'SOR RATE'!A:D,4,0)/50</f>
        <v>5.36</v>
      </c>
      <c r="F19" s="270">
        <f>208*1.25</f>
        <v>260</v>
      </c>
      <c r="G19" s="271">
        <f>E19*F19</f>
        <v>1393.6000000000001</v>
      </c>
      <c r="H19" s="271">
        <f>E19*F19</f>
        <v>1393.6000000000001</v>
      </c>
    </row>
    <row r="20" spans="1:8" ht="14.25" customHeight="1">
      <c r="A20" s="279">
        <v>12</v>
      </c>
      <c r="B20" s="1118" t="s">
        <v>1066</v>
      </c>
      <c r="C20" s="255">
        <v>7130211158</v>
      </c>
      <c r="D20" s="251" t="s">
        <v>1067</v>
      </c>
      <c r="E20" s="271">
        <f>VLOOKUP(C20,'SOR RATE'!A:D,4,0)</f>
        <v>130</v>
      </c>
      <c r="F20" s="270">
        <v>1</v>
      </c>
      <c r="G20" s="271">
        <f t="shared" si="0"/>
        <v>130</v>
      </c>
      <c r="H20" s="271">
        <f aca="true" t="shared" si="1" ref="H20:H28">E20*F20</f>
        <v>130</v>
      </c>
    </row>
    <row r="21" spans="1:8" ht="14.25" customHeight="1">
      <c r="A21" s="270">
        <v>13</v>
      </c>
      <c r="B21" s="1118" t="s">
        <v>1068</v>
      </c>
      <c r="C21" s="255">
        <v>7130210809</v>
      </c>
      <c r="D21" s="251" t="s">
        <v>1067</v>
      </c>
      <c r="E21" s="271">
        <f>VLOOKUP(C21,'SOR RATE'!A:D,4,0)</f>
        <v>290</v>
      </c>
      <c r="F21" s="270">
        <v>1</v>
      </c>
      <c r="G21" s="271">
        <f t="shared" si="0"/>
        <v>290</v>
      </c>
      <c r="H21" s="271">
        <f t="shared" si="1"/>
        <v>290</v>
      </c>
    </row>
    <row r="22" spans="1:11" ht="14.25" customHeight="1">
      <c r="A22" s="279">
        <v>14</v>
      </c>
      <c r="B22" s="250" t="s">
        <v>430</v>
      </c>
      <c r="C22" s="255">
        <v>7130610206</v>
      </c>
      <c r="D22" s="251" t="s">
        <v>1070</v>
      </c>
      <c r="E22" s="271">
        <f>VLOOKUP(C22,'SOR RATE'!A:D,4,0)/1000</f>
        <v>66.528</v>
      </c>
      <c r="F22" s="270">
        <v>1</v>
      </c>
      <c r="G22" s="271">
        <f t="shared" si="0"/>
        <v>66.528</v>
      </c>
      <c r="H22" s="271">
        <f t="shared" si="1"/>
        <v>66.528</v>
      </c>
      <c r="I22" s="144"/>
      <c r="J22" s="144"/>
      <c r="K22" s="104"/>
    </row>
    <row r="23" spans="1:8" ht="15" customHeight="1">
      <c r="A23" s="270">
        <v>15</v>
      </c>
      <c r="B23" s="1118" t="s">
        <v>1957</v>
      </c>
      <c r="C23" s="255">
        <v>7130880041</v>
      </c>
      <c r="D23" s="251" t="s">
        <v>1061</v>
      </c>
      <c r="E23" s="271">
        <f>VLOOKUP(C23,'SOR RATE'!A:D,4,0)</f>
        <v>74</v>
      </c>
      <c r="F23" s="270">
        <v>1</v>
      </c>
      <c r="G23" s="271">
        <f t="shared" si="0"/>
        <v>74</v>
      </c>
      <c r="H23" s="271">
        <f t="shared" si="1"/>
        <v>74</v>
      </c>
    </row>
    <row r="24" spans="1:8" ht="14.25" customHeight="1">
      <c r="A24" s="279">
        <v>16</v>
      </c>
      <c r="B24" s="250" t="s">
        <v>1676</v>
      </c>
      <c r="C24" s="255">
        <v>7130810692</v>
      </c>
      <c r="D24" s="251" t="s">
        <v>1061</v>
      </c>
      <c r="E24" s="271">
        <f>VLOOKUP(C24,'SOR RATE'!A:D,4,0)</f>
        <v>294</v>
      </c>
      <c r="F24" s="270">
        <v>4</v>
      </c>
      <c r="G24" s="271">
        <f t="shared" si="0"/>
        <v>1176</v>
      </c>
      <c r="H24" s="271">
        <f t="shared" si="1"/>
        <v>1176</v>
      </c>
    </row>
    <row r="25" spans="1:8" ht="14.25" customHeight="1">
      <c r="A25" s="279">
        <v>17</v>
      </c>
      <c r="B25" s="250" t="s">
        <v>722</v>
      </c>
      <c r="C25" s="255">
        <v>7130810201</v>
      </c>
      <c r="D25" s="251" t="s">
        <v>1061</v>
      </c>
      <c r="E25" s="271">
        <f>VLOOKUP(C25,'SOR RATE'!A:D,4,0)</f>
        <v>282</v>
      </c>
      <c r="F25" s="270">
        <v>4</v>
      </c>
      <c r="G25" s="271"/>
      <c r="H25" s="271"/>
    </row>
    <row r="26" spans="1:8" ht="14.25" customHeight="1">
      <c r="A26" s="279">
        <v>18</v>
      </c>
      <c r="B26" s="250" t="s">
        <v>723</v>
      </c>
      <c r="C26" s="255">
        <v>7130810251</v>
      </c>
      <c r="D26" s="251" t="s">
        <v>1061</v>
      </c>
      <c r="E26" s="271">
        <f>VLOOKUP(C26,'SOR RATE'!A:D,4,0)</f>
        <v>282</v>
      </c>
      <c r="F26" s="270">
        <v>4</v>
      </c>
      <c r="G26" s="271"/>
      <c r="H26" s="271"/>
    </row>
    <row r="27" spans="1:8" ht="13.5" customHeight="1">
      <c r="A27" s="279">
        <v>19</v>
      </c>
      <c r="B27" s="1118" t="s">
        <v>366</v>
      </c>
      <c r="C27" s="255">
        <v>7130620609</v>
      </c>
      <c r="D27" s="251" t="s">
        <v>1070</v>
      </c>
      <c r="E27" s="271">
        <f>VLOOKUP(C27,'SOR RATE'!A:D,4,0)</f>
        <v>64</v>
      </c>
      <c r="F27" s="270">
        <v>5</v>
      </c>
      <c r="G27" s="271">
        <f t="shared" si="0"/>
        <v>320</v>
      </c>
      <c r="H27" s="271">
        <f t="shared" si="1"/>
        <v>320</v>
      </c>
    </row>
    <row r="28" spans="1:8" ht="13.5" customHeight="1">
      <c r="A28" s="270">
        <v>20</v>
      </c>
      <c r="B28" s="1118" t="s">
        <v>367</v>
      </c>
      <c r="C28" s="255">
        <v>7130620614</v>
      </c>
      <c r="D28" s="251" t="s">
        <v>1070</v>
      </c>
      <c r="E28" s="271">
        <f>VLOOKUP(C28,'SOR RATE'!A:D,4,0)</f>
        <v>63</v>
      </c>
      <c r="F28" s="270">
        <v>1</v>
      </c>
      <c r="G28" s="271">
        <f t="shared" si="0"/>
        <v>63</v>
      </c>
      <c r="H28" s="271">
        <f t="shared" si="1"/>
        <v>63</v>
      </c>
    </row>
    <row r="29" spans="1:13" ht="16.5" customHeight="1">
      <c r="A29" s="270">
        <v>21</v>
      </c>
      <c r="B29" s="281" t="s">
        <v>1171</v>
      </c>
      <c r="C29" s="270">
        <v>7130877681</v>
      </c>
      <c r="D29" s="251" t="s">
        <v>1023</v>
      </c>
      <c r="E29" s="271">
        <f>VLOOKUP(C29,'SOR RATE'!A:D,4,0)</f>
        <v>2270</v>
      </c>
      <c r="F29" s="270">
        <v>2</v>
      </c>
      <c r="G29" s="271">
        <f t="shared" si="0"/>
        <v>4540</v>
      </c>
      <c r="H29" s="271">
        <f>+G29</f>
        <v>4540</v>
      </c>
      <c r="I29" s="191"/>
      <c r="J29" s="191"/>
      <c r="K29" s="191"/>
      <c r="L29" s="107"/>
      <c r="M29" s="107"/>
    </row>
    <row r="30" spans="1:11" ht="41.25" customHeight="1">
      <c r="A30" s="270">
        <v>22</v>
      </c>
      <c r="B30" s="281" t="s">
        <v>1172</v>
      </c>
      <c r="C30" s="270">
        <v>7130642039</v>
      </c>
      <c r="D30" s="282" t="s">
        <v>1061</v>
      </c>
      <c r="E30" s="271">
        <f>VLOOKUP(C30,'SOR RATE'!A:D,4,0)</f>
        <v>820</v>
      </c>
      <c r="F30" s="270">
        <v>2</v>
      </c>
      <c r="G30" s="271">
        <f t="shared" si="0"/>
        <v>1640</v>
      </c>
      <c r="H30" s="271">
        <f>+G30</f>
        <v>1640</v>
      </c>
      <c r="I30" s="106"/>
      <c r="J30" s="105"/>
      <c r="K30" s="105"/>
    </row>
    <row r="31" spans="1:11" ht="29.25" customHeight="1">
      <c r="A31" s="270">
        <v>23</v>
      </c>
      <c r="B31" s="281" t="s">
        <v>812</v>
      </c>
      <c r="C31" s="282">
        <v>7130320053</v>
      </c>
      <c r="D31" s="282" t="s">
        <v>1061</v>
      </c>
      <c r="E31" s="271">
        <f>VLOOKUP(C31,'SOR RATE'!A:D,4,0)</f>
        <v>5</v>
      </c>
      <c r="F31" s="270">
        <v>25</v>
      </c>
      <c r="G31" s="271">
        <f t="shared" si="0"/>
        <v>125</v>
      </c>
      <c r="H31" s="271">
        <f>+G31</f>
        <v>125</v>
      </c>
      <c r="J31" s="105"/>
      <c r="K31" s="105"/>
    </row>
    <row r="32" spans="1:11" ht="15.75" customHeight="1">
      <c r="A32" s="283">
        <v>24</v>
      </c>
      <c r="B32" s="1057" t="s">
        <v>771</v>
      </c>
      <c r="C32" s="284"/>
      <c r="D32" s="284"/>
      <c r="E32" s="283"/>
      <c r="F32" s="283"/>
      <c r="G32" s="285">
        <f>SUM(G8:G31)</f>
        <v>129272.55670000002</v>
      </c>
      <c r="H32" s="285">
        <f>SUM(H8:H31)</f>
        <v>150261.25670000003</v>
      </c>
      <c r="J32" s="197"/>
      <c r="K32" s="197"/>
    </row>
    <row r="33" spans="1:8" ht="15.75" customHeight="1">
      <c r="A33" s="270">
        <v>25</v>
      </c>
      <c r="B33" s="250" t="s">
        <v>770</v>
      </c>
      <c r="C33" s="279"/>
      <c r="D33" s="279"/>
      <c r="E33" s="270">
        <v>0.09</v>
      </c>
      <c r="F33" s="270"/>
      <c r="G33" s="271">
        <f>E33*G32</f>
        <v>11634.530103000001</v>
      </c>
      <c r="H33" s="271">
        <f>E33*H32</f>
        <v>13523.513103000001</v>
      </c>
    </row>
    <row r="34" spans="1:8" ht="14.25" customHeight="1">
      <c r="A34" s="279">
        <v>26</v>
      </c>
      <c r="B34" s="1118" t="s">
        <v>1908</v>
      </c>
      <c r="C34" s="279"/>
      <c r="D34" s="279"/>
      <c r="E34" s="271">
        <f>25000*1.086275*1.1112*1.0685</f>
        <v>32243.824785750003</v>
      </c>
      <c r="F34" s="270">
        <v>1</v>
      </c>
      <c r="G34" s="271">
        <f>E34*F34</f>
        <v>32243.824785750003</v>
      </c>
      <c r="H34" s="271">
        <f>E34*F34</f>
        <v>32243.824785750003</v>
      </c>
    </row>
    <row r="35" spans="1:8" ht="15.75" customHeight="1">
      <c r="A35" s="279">
        <v>27</v>
      </c>
      <c r="B35" s="1118" t="s">
        <v>368</v>
      </c>
      <c r="C35" s="279"/>
      <c r="D35" s="279"/>
      <c r="E35" s="271">
        <f>10000*1.1797*1.1402*0.9368</f>
        <v>12600.84002992</v>
      </c>
      <c r="F35" s="270">
        <v>1</v>
      </c>
      <c r="G35" s="271">
        <f>E35*F35</f>
        <v>12600.84002992</v>
      </c>
      <c r="H35" s="271">
        <f>E35*F35</f>
        <v>12600.84002992</v>
      </c>
    </row>
    <row r="36" spans="1:8" ht="15" customHeight="1">
      <c r="A36" s="279">
        <v>28</v>
      </c>
      <c r="B36" s="1118" t="s">
        <v>369</v>
      </c>
      <c r="C36" s="279"/>
      <c r="D36" s="279" t="s">
        <v>1065</v>
      </c>
      <c r="E36" s="260">
        <f>1664*1.27*1.0891*1.086275*1.1112*1.0685</f>
        <v>2968.460981603261</v>
      </c>
      <c r="F36" s="270">
        <v>1.25</v>
      </c>
      <c r="G36" s="271">
        <f>E36*F36</f>
        <v>3710.5762270040764</v>
      </c>
      <c r="H36" s="271">
        <f>E36*F36</f>
        <v>3710.5762270040764</v>
      </c>
    </row>
    <row r="37" spans="1:8" ht="15" customHeight="1">
      <c r="A37" s="279">
        <v>29</v>
      </c>
      <c r="B37" s="286" t="s">
        <v>810</v>
      </c>
      <c r="C37" s="1119"/>
      <c r="D37" s="282" t="s">
        <v>1061</v>
      </c>
      <c r="E37" s="288">
        <f>1417.73*1.086275*1.1112*1.0685</f>
        <v>1828.5215085400541</v>
      </c>
      <c r="F37" s="270">
        <v>2</v>
      </c>
      <c r="G37" s="271">
        <f>E37*F37</f>
        <v>3657.0430170801083</v>
      </c>
      <c r="H37" s="271">
        <f>E37*F37</f>
        <v>3657.0430170801083</v>
      </c>
    </row>
    <row r="38" spans="1:8" ht="14.25" customHeight="1">
      <c r="A38" s="284">
        <v>30</v>
      </c>
      <c r="B38" s="1057" t="s">
        <v>772</v>
      </c>
      <c r="C38" s="1119"/>
      <c r="D38" s="282"/>
      <c r="E38" s="288"/>
      <c r="F38" s="270"/>
      <c r="G38" s="285">
        <f>SUM(G32:G37)</f>
        <v>193119.3708627542</v>
      </c>
      <c r="H38" s="285">
        <f>SUM(H32:H37)</f>
        <v>215997.05386275423</v>
      </c>
    </row>
    <row r="39" spans="1:8" ht="28.5" customHeight="1">
      <c r="A39" s="276">
        <v>31</v>
      </c>
      <c r="B39" s="250" t="s">
        <v>773</v>
      </c>
      <c r="C39" s="1119"/>
      <c r="D39" s="282"/>
      <c r="E39" s="288">
        <v>0.11</v>
      </c>
      <c r="F39" s="270"/>
      <c r="G39" s="271">
        <f>G32*E39</f>
        <v>14219.981237000002</v>
      </c>
      <c r="H39" s="271">
        <f>H32*E39</f>
        <v>16528.738237</v>
      </c>
    </row>
    <row r="40" spans="1:8" ht="15">
      <c r="A40" s="284">
        <v>32</v>
      </c>
      <c r="B40" s="1120" t="s">
        <v>370</v>
      </c>
      <c r="C40" s="279"/>
      <c r="D40" s="279"/>
      <c r="E40" s="279"/>
      <c r="F40" s="279"/>
      <c r="G40" s="1092">
        <f>G38+G39</f>
        <v>207339.3520997542</v>
      </c>
      <c r="H40" s="1092">
        <f>H38+H39</f>
        <v>232525.79209975424</v>
      </c>
    </row>
    <row r="41" spans="1:8" ht="15">
      <c r="A41" s="284">
        <v>33</v>
      </c>
      <c r="B41" s="1120" t="s">
        <v>371</v>
      </c>
      <c r="C41" s="289"/>
      <c r="D41" s="289"/>
      <c r="E41" s="289"/>
      <c r="F41" s="289"/>
      <c r="G41" s="1092">
        <f>ROUND(G40,0)</f>
        <v>207339</v>
      </c>
      <c r="H41" s="1092">
        <f>ROUND(H40,0)</f>
        <v>232526</v>
      </c>
    </row>
    <row r="42" ht="9" customHeight="1"/>
    <row r="43" spans="1:6" ht="27.75" customHeight="1">
      <c r="A43" s="173" t="s">
        <v>1294</v>
      </c>
      <c r="B43" s="1352" t="s">
        <v>1114</v>
      </c>
      <c r="C43" s="1352"/>
      <c r="D43" s="1352"/>
      <c r="E43" s="1352"/>
      <c r="F43" s="1352"/>
    </row>
    <row r="45" ht="20.25">
      <c r="A45" s="152"/>
    </row>
  </sheetData>
  <sheetProtection/>
  <mergeCells count="11">
    <mergeCell ref="B1:E1"/>
    <mergeCell ref="B3:H3"/>
    <mergeCell ref="B5:B6"/>
    <mergeCell ref="B43:F43"/>
    <mergeCell ref="G5:H5"/>
    <mergeCell ref="F5:F6"/>
    <mergeCell ref="A18:A19"/>
    <mergeCell ref="E5:E6"/>
    <mergeCell ref="D5:D6"/>
    <mergeCell ref="C5:C6"/>
    <mergeCell ref="A5:A6"/>
  </mergeCells>
  <printOptions/>
  <pageMargins left="0.84" right="0.12" top="0.72" bottom="0.32" header="0.5" footer="0.16"/>
  <pageSetup horizontalDpi="600" verticalDpi="600" orientation="landscape" scale="115" r:id="rId1"/>
</worksheet>
</file>

<file path=xl/worksheets/sheet14.xml><?xml version="1.0" encoding="utf-8"?>
<worksheet xmlns="http://schemas.openxmlformats.org/spreadsheetml/2006/main" xmlns:r="http://schemas.openxmlformats.org/officeDocument/2006/relationships">
  <sheetPr>
    <tabColor indexed="11"/>
  </sheetPr>
  <dimension ref="A1:M65"/>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4.140625" style="2" customWidth="1"/>
    <col min="2" max="2" width="52.00390625" style="2" customWidth="1"/>
    <col min="3" max="3" width="13.7109375" style="2" customWidth="1"/>
    <col min="4" max="4" width="5.7109375" style="2" bestFit="1" customWidth="1"/>
    <col min="5" max="5" width="5.57421875" style="2" customWidth="1"/>
    <col min="6" max="6" width="9.57421875" style="2" customWidth="1"/>
    <col min="7" max="7" width="13.57421875" style="2" customWidth="1"/>
    <col min="8" max="8" width="5.28125" style="2" customWidth="1"/>
    <col min="9" max="9" width="9.00390625" style="2" customWidth="1"/>
    <col min="10" max="10" width="11.140625" style="2" customWidth="1"/>
    <col min="11" max="11" width="12.140625" style="2" customWidth="1"/>
    <col min="12" max="12" width="16.8515625" style="2" customWidth="1"/>
    <col min="13" max="13" width="14.8515625" style="2" customWidth="1"/>
    <col min="14" max="16384" width="9.140625" style="2" customWidth="1"/>
  </cols>
  <sheetData>
    <row r="1" spans="1:7" ht="18">
      <c r="A1" s="61"/>
      <c r="B1" s="126"/>
      <c r="C1" s="1356" t="s">
        <v>715</v>
      </c>
      <c r="D1" s="1356"/>
      <c r="E1" s="1356"/>
      <c r="F1" s="1356"/>
      <c r="G1" s="1356"/>
    </row>
    <row r="2" spans="1:3" ht="9" customHeight="1">
      <c r="A2" s="61"/>
      <c r="C2" s="18"/>
    </row>
    <row r="3" spans="1:9" ht="35.25" customHeight="1">
      <c r="A3" s="61"/>
      <c r="B3" s="1290" t="s">
        <v>130</v>
      </c>
      <c r="C3" s="1290"/>
      <c r="D3" s="1290"/>
      <c r="E3" s="1290"/>
      <c r="F3" s="1290"/>
      <c r="G3" s="1290"/>
      <c r="H3" s="1290"/>
      <c r="I3" s="1290"/>
    </row>
    <row r="4" spans="1:10" ht="14.25" customHeight="1">
      <c r="A4" s="61"/>
      <c r="B4" s="82"/>
      <c r="C4" s="82"/>
      <c r="D4" s="82"/>
      <c r="E4" s="82"/>
      <c r="F4" s="82"/>
      <c r="G4" s="82"/>
      <c r="H4" s="1303" t="s">
        <v>1153</v>
      </c>
      <c r="I4" s="1303"/>
      <c r="J4" s="33"/>
    </row>
    <row r="5" spans="1:10" ht="33" customHeight="1">
      <c r="A5" s="1283" t="s">
        <v>1056</v>
      </c>
      <c r="B5" s="1283" t="s">
        <v>1057</v>
      </c>
      <c r="C5" s="1266" t="s">
        <v>1331</v>
      </c>
      <c r="D5" s="1283" t="s">
        <v>1058</v>
      </c>
      <c r="E5" s="1283" t="s">
        <v>1059</v>
      </c>
      <c r="F5" s="1283"/>
      <c r="G5" s="1283"/>
      <c r="H5" s="1283" t="s">
        <v>814</v>
      </c>
      <c r="I5" s="1283"/>
      <c r="J5" s="1283"/>
    </row>
    <row r="6" spans="1:10" ht="16.5" customHeight="1">
      <c r="A6" s="1283"/>
      <c r="B6" s="1283"/>
      <c r="C6" s="1267"/>
      <c r="D6" s="1283"/>
      <c r="E6" s="1187" t="s">
        <v>1329</v>
      </c>
      <c r="F6" s="1187" t="s">
        <v>1018</v>
      </c>
      <c r="G6" s="1187" t="s">
        <v>1434</v>
      </c>
      <c r="H6" s="1187" t="s">
        <v>1329</v>
      </c>
      <c r="I6" s="1187" t="s">
        <v>1018</v>
      </c>
      <c r="J6" s="1187" t="s">
        <v>1434</v>
      </c>
    </row>
    <row r="7" spans="1:10" ht="14.25">
      <c r="A7" s="182">
        <v>1</v>
      </c>
      <c r="B7" s="181">
        <v>2</v>
      </c>
      <c r="C7" s="181">
        <v>3</v>
      </c>
      <c r="D7" s="181">
        <v>4</v>
      </c>
      <c r="E7" s="183">
        <v>5</v>
      </c>
      <c r="F7" s="183">
        <v>6</v>
      </c>
      <c r="G7" s="183">
        <v>7</v>
      </c>
      <c r="H7" s="181">
        <v>8</v>
      </c>
      <c r="I7" s="181">
        <v>9</v>
      </c>
      <c r="J7" s="181">
        <v>10</v>
      </c>
    </row>
    <row r="8" spans="1:12" ht="17.25" customHeight="1">
      <c r="A8" s="1358">
        <v>1</v>
      </c>
      <c r="B8" s="237" t="s">
        <v>499</v>
      </c>
      <c r="C8" s="238">
        <v>7130800033</v>
      </c>
      <c r="D8" s="1026" t="s">
        <v>1061</v>
      </c>
      <c r="E8" s="924">
        <v>2</v>
      </c>
      <c r="F8" s="1121">
        <f>VLOOKUP(C8,'SOR RATE'!A:D,4,0)</f>
        <v>3129</v>
      </c>
      <c r="G8" s="1121">
        <f>E8*F8</f>
        <v>6258</v>
      </c>
      <c r="H8" s="233"/>
      <c r="I8" s="233"/>
      <c r="J8" s="233"/>
      <c r="K8" s="630"/>
      <c r="L8" s="630"/>
    </row>
    <row r="9" spans="1:10" ht="31.5" customHeight="1">
      <c r="A9" s="1359"/>
      <c r="B9" s="237" t="s">
        <v>584</v>
      </c>
      <c r="C9" s="1081">
        <v>7130601958</v>
      </c>
      <c r="D9" s="1026" t="s">
        <v>1070</v>
      </c>
      <c r="E9" s="233"/>
      <c r="F9" s="235"/>
      <c r="G9" s="235"/>
      <c r="H9" s="233">
        <v>964.6</v>
      </c>
      <c r="I9" s="1123">
        <f>VLOOKUP(C9,'SOR RATE'!A:D,4,0)/1000</f>
        <v>44.989</v>
      </c>
      <c r="J9" s="235">
        <f aca="true" t="shared" si="0" ref="J9:J21">I9*H9</f>
        <v>43396.3894</v>
      </c>
    </row>
    <row r="10" spans="1:10" ht="31.5" customHeight="1">
      <c r="A10" s="1360"/>
      <c r="B10" s="237" t="s">
        <v>964</v>
      </c>
      <c r="C10" s="238">
        <v>7130601072</v>
      </c>
      <c r="D10" s="1026" t="s">
        <v>1070</v>
      </c>
      <c r="E10" s="233"/>
      <c r="F10" s="1121"/>
      <c r="G10" s="235"/>
      <c r="H10" s="233"/>
      <c r="I10" s="1123"/>
      <c r="J10" s="235"/>
    </row>
    <row r="11" spans="1:10" ht="17.25" customHeight="1">
      <c r="A11" s="924">
        <v>2</v>
      </c>
      <c r="B11" s="1124" t="s">
        <v>2012</v>
      </c>
      <c r="C11" s="238">
        <v>7130810608</v>
      </c>
      <c r="D11" s="924" t="s">
        <v>1022</v>
      </c>
      <c r="E11" s="233">
        <v>2</v>
      </c>
      <c r="F11" s="1121">
        <f>VLOOKUP(C11,'SOR RATE'!A:D,4,0)</f>
        <v>5377</v>
      </c>
      <c r="G11" s="235">
        <f aca="true" t="shared" si="1" ref="G11:G16">F11*E11</f>
        <v>10754</v>
      </c>
      <c r="H11" s="233">
        <v>2</v>
      </c>
      <c r="I11" s="1123">
        <f>VLOOKUP(C11,'SOR RATE'!A:D,4,0)</f>
        <v>5377</v>
      </c>
      <c r="J11" s="235">
        <f t="shared" si="0"/>
        <v>10754</v>
      </c>
    </row>
    <row r="12" spans="1:13" ht="14.25">
      <c r="A12" s="1077">
        <v>3</v>
      </c>
      <c r="B12" s="267" t="s">
        <v>1155</v>
      </c>
      <c r="C12" s="238">
        <v>7130820011</v>
      </c>
      <c r="D12" s="233" t="s">
        <v>1061</v>
      </c>
      <c r="E12" s="233">
        <v>18</v>
      </c>
      <c r="F12" s="1121">
        <f>VLOOKUP(C12,'SOR RATE'!A:D,4,0)</f>
        <v>354</v>
      </c>
      <c r="G12" s="235">
        <f t="shared" si="1"/>
        <v>6372</v>
      </c>
      <c r="H12" s="233">
        <v>18</v>
      </c>
      <c r="I12" s="1123">
        <f>VLOOKUP(C12,'SOR RATE'!A:D,4,0)</f>
        <v>354</v>
      </c>
      <c r="J12" s="235">
        <f t="shared" si="0"/>
        <v>6372</v>
      </c>
      <c r="L12" s="1339" t="s">
        <v>1156</v>
      </c>
      <c r="M12" s="1339"/>
    </row>
    <row r="13" spans="1:13" ht="14.25">
      <c r="A13" s="1077">
        <v>4</v>
      </c>
      <c r="B13" s="267" t="s">
        <v>504</v>
      </c>
      <c r="C13" s="1081">
        <v>7130820248</v>
      </c>
      <c r="D13" s="233" t="s">
        <v>1061</v>
      </c>
      <c r="E13" s="233">
        <v>6</v>
      </c>
      <c r="F13" s="1121">
        <f>VLOOKUP(C13,'SOR RATE'!A:D,4,0)</f>
        <v>255</v>
      </c>
      <c r="G13" s="235">
        <f t="shared" si="1"/>
        <v>1530</v>
      </c>
      <c r="H13" s="233">
        <v>6</v>
      </c>
      <c r="I13" s="1123">
        <f>VLOOKUP(C13,'SOR RATE'!A:D,4,0)</f>
        <v>255</v>
      </c>
      <c r="J13" s="235">
        <f t="shared" si="0"/>
        <v>1530</v>
      </c>
      <c r="L13" s="145"/>
      <c r="M13" s="145"/>
    </row>
    <row r="14" spans="1:13" ht="14.25">
      <c r="A14" s="1105">
        <v>5</v>
      </c>
      <c r="B14" s="237" t="s">
        <v>1147</v>
      </c>
      <c r="C14" s="238">
        <v>7130820009</v>
      </c>
      <c r="D14" s="233" t="s">
        <v>1061</v>
      </c>
      <c r="E14" s="233">
        <v>3</v>
      </c>
      <c r="F14" s="1121">
        <f>VLOOKUP(C14,'SOR RATE'!A:D,4,0)</f>
        <v>388</v>
      </c>
      <c r="G14" s="235">
        <f t="shared" si="1"/>
        <v>1164</v>
      </c>
      <c r="H14" s="233">
        <v>3</v>
      </c>
      <c r="I14" s="1123">
        <f>VLOOKUP(C14,'SOR RATE'!A:D,4,0)</f>
        <v>388</v>
      </c>
      <c r="J14" s="235">
        <f t="shared" si="0"/>
        <v>1164</v>
      </c>
      <c r="L14" s="1317" t="s">
        <v>1986</v>
      </c>
      <c r="M14" s="1317"/>
    </row>
    <row r="15" spans="1:10" ht="14.25">
      <c r="A15" s="1358">
        <v>6</v>
      </c>
      <c r="B15" s="237" t="s">
        <v>1954</v>
      </c>
      <c r="C15" s="238">
        <v>7130860033</v>
      </c>
      <c r="D15" s="1026" t="s">
        <v>1061</v>
      </c>
      <c r="E15" s="1125">
        <v>6</v>
      </c>
      <c r="F15" s="1121">
        <f>VLOOKUP(C15,'SOR RATE'!A:D,4,0)</f>
        <v>705</v>
      </c>
      <c r="G15" s="235">
        <f t="shared" si="1"/>
        <v>4230</v>
      </c>
      <c r="H15" s="233">
        <v>4</v>
      </c>
      <c r="I15" s="1123">
        <f>VLOOKUP(C15,'SOR RATE'!A:D,4,0)</f>
        <v>705</v>
      </c>
      <c r="J15" s="235">
        <f t="shared" si="0"/>
        <v>2820</v>
      </c>
    </row>
    <row r="16" spans="1:10" ht="14.25">
      <c r="A16" s="1359"/>
      <c r="B16" s="237" t="s">
        <v>1962</v>
      </c>
      <c r="C16" s="238">
        <v>7130810193</v>
      </c>
      <c r="D16" s="1026" t="s">
        <v>1061</v>
      </c>
      <c r="E16" s="1125">
        <v>6</v>
      </c>
      <c r="F16" s="1121">
        <f>VLOOKUP(C16,'SOR RATE'!A:D,4,0)</f>
        <v>265</v>
      </c>
      <c r="G16" s="235">
        <f t="shared" si="1"/>
        <v>1590</v>
      </c>
      <c r="H16" s="233"/>
      <c r="I16" s="235"/>
      <c r="J16" s="235"/>
    </row>
    <row r="17" spans="1:10" ht="14.25">
      <c r="A17" s="1359"/>
      <c r="B17" s="237" t="s">
        <v>437</v>
      </c>
      <c r="C17" s="238">
        <v>7130810692</v>
      </c>
      <c r="D17" s="1026" t="s">
        <v>1061</v>
      </c>
      <c r="E17" s="1125"/>
      <c r="F17" s="235"/>
      <c r="G17" s="235"/>
      <c r="H17" s="233">
        <v>4</v>
      </c>
      <c r="I17" s="1123">
        <f>VLOOKUP(C17,'SOR RATE'!A:D,4,0)</f>
        <v>294</v>
      </c>
      <c r="J17" s="235">
        <f t="shared" si="0"/>
        <v>1176</v>
      </c>
    </row>
    <row r="18" spans="1:10" ht="14.25">
      <c r="A18" s="1359"/>
      <c r="B18" s="237" t="s">
        <v>1148</v>
      </c>
      <c r="C18" s="238">
        <v>7130810201</v>
      </c>
      <c r="D18" s="1026" t="s">
        <v>1061</v>
      </c>
      <c r="E18" s="1125"/>
      <c r="F18" s="1121"/>
      <c r="G18" s="235"/>
      <c r="H18" s="233"/>
      <c r="I18" s="1123"/>
      <c r="J18" s="235"/>
    </row>
    <row r="19" spans="1:10" ht="14.25">
      <c r="A19" s="1359"/>
      <c r="B19" s="237" t="s">
        <v>1149</v>
      </c>
      <c r="C19" s="238">
        <v>7130810251</v>
      </c>
      <c r="D19" s="1026" t="s">
        <v>1061</v>
      </c>
      <c r="E19" s="1125"/>
      <c r="F19" s="1121"/>
      <c r="G19" s="235"/>
      <c r="H19" s="233"/>
      <c r="I19" s="1123"/>
      <c r="J19" s="235"/>
    </row>
    <row r="20" spans="1:10" ht="14.25">
      <c r="A20" s="1360"/>
      <c r="B20" s="237" t="s">
        <v>1863</v>
      </c>
      <c r="C20" s="238">
        <v>7130860076</v>
      </c>
      <c r="D20" s="1026" t="s">
        <v>1070</v>
      </c>
      <c r="E20" s="1125">
        <v>51</v>
      </c>
      <c r="F20" s="1121">
        <f>VLOOKUP(C20,'SOR RATE'!A:D,4,0)/1000</f>
        <v>61.002</v>
      </c>
      <c r="G20" s="235">
        <f>F20*E20</f>
        <v>3111.1020000000003</v>
      </c>
      <c r="H20" s="233">
        <v>34</v>
      </c>
      <c r="I20" s="1123">
        <f>VLOOKUP(C20,'SOR RATE'!A:D,4,0)/1000</f>
        <v>61.002</v>
      </c>
      <c r="J20" s="235">
        <f t="shared" si="0"/>
        <v>2074.068</v>
      </c>
    </row>
    <row r="21" spans="1:10" ht="14.25">
      <c r="A21" s="1122">
        <v>7</v>
      </c>
      <c r="B21" s="237" t="s">
        <v>1297</v>
      </c>
      <c r="C21" s="238">
        <v>7130810624</v>
      </c>
      <c r="D21" s="1026" t="s">
        <v>1023</v>
      </c>
      <c r="E21" s="1125">
        <v>6</v>
      </c>
      <c r="F21" s="1121">
        <f>VLOOKUP(C21,'SOR RATE'!A:D,4,0)</f>
        <v>90</v>
      </c>
      <c r="G21" s="235">
        <f>F21*E21</f>
        <v>540</v>
      </c>
      <c r="H21" s="233">
        <v>6</v>
      </c>
      <c r="I21" s="1123">
        <f>VLOOKUP(C21,'SOR RATE'!A:D,4,0)</f>
        <v>90</v>
      </c>
      <c r="J21" s="235">
        <f t="shared" si="0"/>
        <v>540</v>
      </c>
    </row>
    <row r="22" spans="1:10" ht="60" customHeight="1">
      <c r="A22" s="1358">
        <v>8</v>
      </c>
      <c r="B22" s="237" t="s">
        <v>944</v>
      </c>
      <c r="C22" s="238"/>
      <c r="D22" s="1026" t="s">
        <v>1065</v>
      </c>
      <c r="E22" s="235">
        <f>(0.55*2)+(0.3*6)</f>
        <v>2.9</v>
      </c>
      <c r="F22" s="235"/>
      <c r="G22" s="235"/>
      <c r="H22" s="1126">
        <f>(0.65*2)+(0.3*4)</f>
        <v>2.5</v>
      </c>
      <c r="I22" s="235"/>
      <c r="J22" s="235"/>
    </row>
    <row r="23" spans="1:10" ht="17.25" customHeight="1">
      <c r="A23" s="1360"/>
      <c r="B23" s="237" t="s">
        <v>1967</v>
      </c>
      <c r="C23" s="238">
        <v>7130200401</v>
      </c>
      <c r="D23" s="1026" t="s">
        <v>1070</v>
      </c>
      <c r="E23" s="1125">
        <f>2.9*208</f>
        <v>603.1999999999999</v>
      </c>
      <c r="F23" s="1121">
        <f>VLOOKUP(C23,'SOR RATE'!A:D,4,0)/50</f>
        <v>5.36</v>
      </c>
      <c r="G23" s="235">
        <f aca="true" t="shared" si="2" ref="G23:G28">F23*E23</f>
        <v>3233.152</v>
      </c>
      <c r="H23" s="924">
        <f>2.5*208</f>
        <v>520</v>
      </c>
      <c r="I23" s="1123">
        <f>VLOOKUP(C23,'SOR RATE'!A:D,4,0)/50</f>
        <v>5.36</v>
      </c>
      <c r="J23" s="235">
        <f aca="true" t="shared" si="3" ref="J23:J28">I23*H23</f>
        <v>2787.2000000000003</v>
      </c>
    </row>
    <row r="24" spans="1:10" ht="17.25" customHeight="1">
      <c r="A24" s="924">
        <v>9</v>
      </c>
      <c r="B24" s="237" t="s">
        <v>1062</v>
      </c>
      <c r="C24" s="238">
        <v>7130870013</v>
      </c>
      <c r="D24" s="1026" t="s">
        <v>1061</v>
      </c>
      <c r="E24" s="1125">
        <v>2</v>
      </c>
      <c r="F24" s="1121">
        <f>VLOOKUP(C24,'SOR RATE'!A:D,4,0)</f>
        <v>100</v>
      </c>
      <c r="G24" s="235">
        <f t="shared" si="2"/>
        <v>200</v>
      </c>
      <c r="H24" s="924">
        <v>2</v>
      </c>
      <c r="I24" s="1123">
        <f>VLOOKUP(C24,'SOR RATE'!A:D,4,0)</f>
        <v>100</v>
      </c>
      <c r="J24" s="235">
        <f t="shared" si="3"/>
        <v>200</v>
      </c>
    </row>
    <row r="25" spans="1:10" ht="14.25">
      <c r="A25" s="1077">
        <v>10</v>
      </c>
      <c r="B25" s="237" t="s">
        <v>1066</v>
      </c>
      <c r="C25" s="238">
        <v>7130211158</v>
      </c>
      <c r="D25" s="1026" t="s">
        <v>1067</v>
      </c>
      <c r="E25" s="1126">
        <v>0.5</v>
      </c>
      <c r="F25" s="1121">
        <f>VLOOKUP(C25,'SOR RATE'!A:D,4,0)</f>
        <v>130</v>
      </c>
      <c r="G25" s="235">
        <f t="shared" si="2"/>
        <v>65</v>
      </c>
      <c r="H25" s="233">
        <v>2</v>
      </c>
      <c r="I25" s="1123">
        <f>VLOOKUP(C25,'SOR RATE'!A:D,4,0)</f>
        <v>130</v>
      </c>
      <c r="J25" s="235">
        <f t="shared" si="3"/>
        <v>260</v>
      </c>
    </row>
    <row r="26" spans="1:10" ht="14.25">
      <c r="A26" s="1101">
        <v>11</v>
      </c>
      <c r="B26" s="237" t="s">
        <v>1068</v>
      </c>
      <c r="C26" s="238">
        <v>7130210809</v>
      </c>
      <c r="D26" s="1026" t="s">
        <v>1067</v>
      </c>
      <c r="E26" s="1126">
        <v>0.5</v>
      </c>
      <c r="F26" s="1121">
        <f>VLOOKUP(C26,'SOR RATE'!A:D,4,0)</f>
        <v>290</v>
      </c>
      <c r="G26" s="235">
        <f t="shared" si="2"/>
        <v>145</v>
      </c>
      <c r="H26" s="233">
        <v>2</v>
      </c>
      <c r="I26" s="1123">
        <f>VLOOKUP(C26,'SOR RATE'!A:D,4,0)</f>
        <v>290</v>
      </c>
      <c r="J26" s="235">
        <f t="shared" si="3"/>
        <v>580</v>
      </c>
    </row>
    <row r="27" spans="1:11" ht="17.25" customHeight="1">
      <c r="A27" s="233">
        <v>12</v>
      </c>
      <c r="B27" s="232" t="s">
        <v>431</v>
      </c>
      <c r="C27" s="238">
        <v>7130610206</v>
      </c>
      <c r="D27" s="233" t="s">
        <v>1070</v>
      </c>
      <c r="E27" s="1125">
        <v>7</v>
      </c>
      <c r="F27" s="1121">
        <f>VLOOKUP(C27,'SOR RATE'!A:D,4,0)/1000</f>
        <v>66.528</v>
      </c>
      <c r="G27" s="235">
        <f t="shared" si="2"/>
        <v>465.696</v>
      </c>
      <c r="H27" s="233">
        <v>7</v>
      </c>
      <c r="I27" s="1123">
        <f>VLOOKUP(C27,'SOR RATE'!A:D,4,0)/1000</f>
        <v>66.528</v>
      </c>
      <c r="J27" s="235">
        <f t="shared" si="3"/>
        <v>465.696</v>
      </c>
      <c r="K27" s="144"/>
    </row>
    <row r="28" spans="1:10" ht="14.25">
      <c r="A28" s="1077">
        <v>13</v>
      </c>
      <c r="B28" s="237" t="s">
        <v>1957</v>
      </c>
      <c r="C28" s="238">
        <v>7130880041</v>
      </c>
      <c r="D28" s="1026" t="s">
        <v>1061</v>
      </c>
      <c r="E28" s="1125">
        <v>1</v>
      </c>
      <c r="F28" s="1121">
        <f>VLOOKUP(C28,'SOR RATE'!A:D,4,0)</f>
        <v>74</v>
      </c>
      <c r="G28" s="235">
        <f t="shared" si="2"/>
        <v>74</v>
      </c>
      <c r="H28" s="233">
        <v>1</v>
      </c>
      <c r="I28" s="1123">
        <f>VLOOKUP(C28,'SOR RATE'!A:D,4,0)</f>
        <v>74</v>
      </c>
      <c r="J28" s="235">
        <f t="shared" si="3"/>
        <v>74</v>
      </c>
    </row>
    <row r="29" spans="1:10" ht="14.25">
      <c r="A29" s="1358">
        <v>14</v>
      </c>
      <c r="B29" s="237" t="s">
        <v>1071</v>
      </c>
      <c r="C29" s="238"/>
      <c r="D29" s="1026" t="s">
        <v>1070</v>
      </c>
      <c r="E29" s="1125">
        <v>7</v>
      </c>
      <c r="F29" s="235"/>
      <c r="G29" s="235"/>
      <c r="H29" s="1127">
        <v>7</v>
      </c>
      <c r="I29" s="235"/>
      <c r="J29" s="235"/>
    </row>
    <row r="30" spans="1:10" ht="15.75" customHeight="1">
      <c r="A30" s="1359"/>
      <c r="B30" s="237" t="s">
        <v>1033</v>
      </c>
      <c r="C30" s="238">
        <v>7130620609</v>
      </c>
      <c r="D30" s="1026" t="s">
        <v>1070</v>
      </c>
      <c r="E30" s="235">
        <v>0.5</v>
      </c>
      <c r="F30" s="1121">
        <f>VLOOKUP(C30,'SOR RATE'!A:D,4,0)</f>
        <v>64</v>
      </c>
      <c r="G30" s="235">
        <f>F30*E30</f>
        <v>32</v>
      </c>
      <c r="H30" s="1127">
        <v>0.5</v>
      </c>
      <c r="I30" s="1123">
        <f>VLOOKUP(C30,'SOR RATE'!A:D,4,0)</f>
        <v>64</v>
      </c>
      <c r="J30" s="235">
        <f>I30*H30</f>
        <v>32</v>
      </c>
    </row>
    <row r="31" spans="1:10" ht="15.75" customHeight="1">
      <c r="A31" s="1359"/>
      <c r="B31" s="237" t="s">
        <v>1949</v>
      </c>
      <c r="C31" s="238">
        <v>7130620614</v>
      </c>
      <c r="D31" s="1026" t="s">
        <v>1070</v>
      </c>
      <c r="E31" s="235">
        <v>0.5</v>
      </c>
      <c r="F31" s="1121">
        <f>VLOOKUP(C31,'SOR RATE'!A:D,4,0)</f>
        <v>63</v>
      </c>
      <c r="G31" s="235">
        <f>F31*E31</f>
        <v>31.5</v>
      </c>
      <c r="H31" s="233">
        <v>0.5</v>
      </c>
      <c r="I31" s="1123">
        <f>VLOOKUP(C31,'SOR RATE'!A:D,4,0)</f>
        <v>63</v>
      </c>
      <c r="J31" s="235">
        <f>I31*H31</f>
        <v>31.5</v>
      </c>
    </row>
    <row r="32" spans="1:10" ht="14.25">
      <c r="A32" s="1359"/>
      <c r="B32" s="237" t="s">
        <v>1950</v>
      </c>
      <c r="C32" s="238">
        <v>7130620619</v>
      </c>
      <c r="D32" s="1026" t="s">
        <v>1070</v>
      </c>
      <c r="E32" s="235"/>
      <c r="F32" s="1121">
        <f>VLOOKUP(C32,'SOR RATE'!A:D,4,0)</f>
        <v>63</v>
      </c>
      <c r="G32" s="235"/>
      <c r="H32" s="1127">
        <v>2.5</v>
      </c>
      <c r="I32" s="1123">
        <f>VLOOKUP(C32,'SOR RATE'!A:D,4,0)</f>
        <v>63</v>
      </c>
      <c r="J32" s="235">
        <f>I32*H32</f>
        <v>157.5</v>
      </c>
    </row>
    <row r="33" spans="1:10" ht="14.25">
      <c r="A33" s="1359"/>
      <c r="B33" s="237" t="s">
        <v>1951</v>
      </c>
      <c r="C33" s="238">
        <v>7130620625</v>
      </c>
      <c r="D33" s="1026" t="s">
        <v>1070</v>
      </c>
      <c r="E33" s="1125">
        <v>2</v>
      </c>
      <c r="F33" s="1121">
        <f>VLOOKUP(C33,'SOR RATE'!A:D,4,0)</f>
        <v>62</v>
      </c>
      <c r="G33" s="235">
        <f>F33*E33</f>
        <v>124</v>
      </c>
      <c r="H33" s="1127"/>
      <c r="I33" s="1123">
        <f>VLOOKUP(C33,'SOR RATE'!A:D,4,0)</f>
        <v>62</v>
      </c>
      <c r="J33" s="235"/>
    </row>
    <row r="34" spans="1:10" ht="14.25">
      <c r="A34" s="1360"/>
      <c r="B34" s="237" t="s">
        <v>1965</v>
      </c>
      <c r="C34" s="238">
        <v>7130620631</v>
      </c>
      <c r="D34" s="1026" t="s">
        <v>1070</v>
      </c>
      <c r="E34" s="1125">
        <v>4</v>
      </c>
      <c r="F34" s="1121">
        <f>VLOOKUP(C34,'SOR RATE'!A:D,4,0)</f>
        <v>62</v>
      </c>
      <c r="G34" s="235">
        <f>F34*E34</f>
        <v>248</v>
      </c>
      <c r="H34" s="1127">
        <v>3.5</v>
      </c>
      <c r="I34" s="1123">
        <f>VLOOKUP(C34,'SOR RATE'!A:D,4,0)</f>
        <v>62</v>
      </c>
      <c r="J34" s="235">
        <f>I34*H34</f>
        <v>217</v>
      </c>
    </row>
    <row r="35" spans="1:10" ht="43.5" customHeight="1">
      <c r="A35" s="1122">
        <v>15</v>
      </c>
      <c r="B35" s="1128" t="s">
        <v>2013</v>
      </c>
      <c r="C35" s="1081">
        <v>7130642039</v>
      </c>
      <c r="D35" s="1127" t="s">
        <v>1061</v>
      </c>
      <c r="E35" s="1129">
        <v>2</v>
      </c>
      <c r="F35" s="1121">
        <f>VLOOKUP(C35,'SOR RATE'!A:D,4,0)</f>
        <v>820</v>
      </c>
      <c r="G35" s="1130">
        <f>F35*E35</f>
        <v>1640</v>
      </c>
      <c r="H35" s="1127">
        <v>2</v>
      </c>
      <c r="I35" s="1123">
        <f>VLOOKUP(C35,'SOR RATE'!A:D,4,0)</f>
        <v>820</v>
      </c>
      <c r="J35" s="1130">
        <f>I35*H35</f>
        <v>1640</v>
      </c>
    </row>
    <row r="36" spans="1:10" ht="16.5" customHeight="1">
      <c r="A36" s="1077">
        <v>16</v>
      </c>
      <c r="B36" s="290" t="s">
        <v>2014</v>
      </c>
      <c r="C36" s="1131"/>
      <c r="D36" s="929" t="s">
        <v>1130</v>
      </c>
      <c r="E36" s="929">
        <v>1</v>
      </c>
      <c r="F36" s="1004">
        <v>90</v>
      </c>
      <c r="G36" s="1130">
        <f>F36*E36</f>
        <v>90</v>
      </c>
      <c r="H36" s="1077">
        <v>1</v>
      </c>
      <c r="I36" s="1130">
        <v>90</v>
      </c>
      <c r="J36" s="1132">
        <f>I36*H36</f>
        <v>90</v>
      </c>
    </row>
    <row r="37" spans="1:13" ht="15.75" customHeight="1">
      <c r="A37" s="1077">
        <v>17</v>
      </c>
      <c r="B37" s="290" t="s">
        <v>962</v>
      </c>
      <c r="C37" s="266">
        <v>7130840021</v>
      </c>
      <c r="D37" s="929" t="s">
        <v>1130</v>
      </c>
      <c r="E37" s="929">
        <v>3</v>
      </c>
      <c r="F37" s="1121">
        <f>VLOOKUP(C37,'SOR RATE'!A:D,4,0)</f>
        <v>3483</v>
      </c>
      <c r="G37" s="1132">
        <f>F37*E37</f>
        <v>10449</v>
      </c>
      <c r="H37" s="1077">
        <v>3</v>
      </c>
      <c r="I37" s="1123">
        <f>VLOOKUP(C37,'SOR RATE'!A:D,4,0)</f>
        <v>3483</v>
      </c>
      <c r="J37" s="1003">
        <f aca="true" t="shared" si="4" ref="J37:J42">I37*H37</f>
        <v>10449</v>
      </c>
      <c r="L37" s="1357" t="s">
        <v>963</v>
      </c>
      <c r="M37" s="1357"/>
    </row>
    <row r="38" spans="1:10" ht="16.5" customHeight="1">
      <c r="A38" s="1077">
        <v>18</v>
      </c>
      <c r="B38" s="290" t="s">
        <v>2015</v>
      </c>
      <c r="C38" s="1131"/>
      <c r="D38" s="1004" t="s">
        <v>1061</v>
      </c>
      <c r="E38" s="929"/>
      <c r="F38" s="1004"/>
      <c r="G38" s="1132"/>
      <c r="H38" s="1077"/>
      <c r="I38" s="1003"/>
      <c r="J38" s="1132"/>
    </row>
    <row r="39" spans="1:10" ht="17.25" customHeight="1">
      <c r="A39" s="233">
        <v>19</v>
      </c>
      <c r="B39" s="232" t="s">
        <v>2016</v>
      </c>
      <c r="C39" s="238">
        <v>7130310660</v>
      </c>
      <c r="D39" s="233" t="s">
        <v>1322</v>
      </c>
      <c r="E39" s="234">
        <v>10</v>
      </c>
      <c r="F39" s="1121">
        <f>VLOOKUP(C39,'SOR RATE'!A63:D63,4,0)/1000</f>
        <v>172.208</v>
      </c>
      <c r="G39" s="1130">
        <f>F39*E39</f>
        <v>1722.08</v>
      </c>
      <c r="H39" s="233">
        <v>10</v>
      </c>
      <c r="I39" s="235">
        <f>+F39</f>
        <v>172.208</v>
      </c>
      <c r="J39" s="1130">
        <f t="shared" si="4"/>
        <v>1722.08</v>
      </c>
    </row>
    <row r="40" spans="1:10" ht="30" customHeight="1">
      <c r="A40" s="1077">
        <v>20</v>
      </c>
      <c r="B40" s="290" t="s">
        <v>2017</v>
      </c>
      <c r="C40" s="298">
        <v>7131310033</v>
      </c>
      <c r="D40" s="236" t="s">
        <v>1061</v>
      </c>
      <c r="E40" s="234">
        <v>1</v>
      </c>
      <c r="F40" s="1121">
        <f>VLOOKUP(C40,'SOR RATE'!A:D,4,0)</f>
        <v>3970</v>
      </c>
      <c r="G40" s="1130">
        <f>F40*E40</f>
        <v>3970</v>
      </c>
      <c r="H40" s="233">
        <v>1</v>
      </c>
      <c r="I40" s="235">
        <f>+F40</f>
        <v>3970</v>
      </c>
      <c r="J40" s="1130">
        <f t="shared" si="4"/>
        <v>3970</v>
      </c>
    </row>
    <row r="41" spans="1:10" ht="15.75" customHeight="1">
      <c r="A41" s="1077">
        <v>21</v>
      </c>
      <c r="B41" s="290" t="s">
        <v>2018</v>
      </c>
      <c r="C41" s="266">
        <v>7132406425</v>
      </c>
      <c r="D41" s="1077" t="s">
        <v>1130</v>
      </c>
      <c r="E41" s="929">
        <v>1</v>
      </c>
      <c r="F41" s="1121">
        <f>VLOOKUP(C41,'SOR RATE'!A:D,4,0)</f>
        <v>2528</v>
      </c>
      <c r="G41" s="1132">
        <f>F41*E41</f>
        <v>2528</v>
      </c>
      <c r="H41" s="1077">
        <v>1</v>
      </c>
      <c r="I41" s="1003">
        <f>+F41</f>
        <v>2528</v>
      </c>
      <c r="J41" s="1132">
        <f t="shared" si="4"/>
        <v>2528</v>
      </c>
    </row>
    <row r="42" spans="1:10" ht="17.25" customHeight="1">
      <c r="A42" s="233">
        <v>22</v>
      </c>
      <c r="B42" s="1133" t="s">
        <v>2019</v>
      </c>
      <c r="C42" s="233">
        <v>7131310037</v>
      </c>
      <c r="D42" s="233" t="s">
        <v>1130</v>
      </c>
      <c r="E42" s="234">
        <v>1</v>
      </c>
      <c r="F42" s="1121">
        <f>VLOOKUP(C42,'SOR RATE'!A:D,4,0)</f>
        <v>870</v>
      </c>
      <c r="G42" s="1130">
        <f>F42*E42</f>
        <v>870</v>
      </c>
      <c r="H42" s="233">
        <v>1</v>
      </c>
      <c r="I42" s="235">
        <f>+F42</f>
        <v>870</v>
      </c>
      <c r="J42" s="1130">
        <f t="shared" si="4"/>
        <v>870</v>
      </c>
    </row>
    <row r="43" spans="1:10" ht="15">
      <c r="A43" s="920">
        <v>23</v>
      </c>
      <c r="B43" s="239" t="s">
        <v>771</v>
      </c>
      <c r="C43" s="1134"/>
      <c r="D43" s="1135"/>
      <c r="E43" s="920"/>
      <c r="F43" s="1136"/>
      <c r="G43" s="1136">
        <f>SUM(G8:G42)</f>
        <v>61436.530000000006</v>
      </c>
      <c r="H43" s="920"/>
      <c r="I43" s="1136"/>
      <c r="J43" s="1136">
        <f>SUM(J8:J42)</f>
        <v>95900.4334</v>
      </c>
    </row>
    <row r="44" spans="1:10" ht="15">
      <c r="A44" s="1077">
        <v>24</v>
      </c>
      <c r="B44" s="237" t="s">
        <v>770</v>
      </c>
      <c r="C44" s="1137"/>
      <c r="D44" s="1138"/>
      <c r="E44" s="1138"/>
      <c r="F44" s="238">
        <v>0.09</v>
      </c>
      <c r="G44" s="235">
        <f>G43*F44</f>
        <v>5529.287700000001</v>
      </c>
      <c r="H44" s="1139"/>
      <c r="I44" s="238">
        <v>0.09</v>
      </c>
      <c r="J44" s="235">
        <f>J43*I44</f>
        <v>8631.039005999999</v>
      </c>
    </row>
    <row r="45" spans="1:10" ht="14.25">
      <c r="A45" s="1105">
        <v>25</v>
      </c>
      <c r="B45" s="237" t="s">
        <v>1334</v>
      </c>
      <c r="C45" s="1140"/>
      <c r="D45" s="1026" t="s">
        <v>1065</v>
      </c>
      <c r="E45" s="1126">
        <v>2.9</v>
      </c>
      <c r="F45" s="235">
        <f>1664*1.27*1.0891*1.086275*1.1112*1.0685</f>
        <v>2968.460981603261</v>
      </c>
      <c r="G45" s="235">
        <f>F45*E45</f>
        <v>8608.536846649456</v>
      </c>
      <c r="H45" s="233">
        <v>2.5</v>
      </c>
      <c r="I45" s="235">
        <f>+F45</f>
        <v>2968.460981603261</v>
      </c>
      <c r="J45" s="235">
        <f>I45*H45</f>
        <v>7421.152454008153</v>
      </c>
    </row>
    <row r="46" spans="1:10" ht="17.25" customHeight="1">
      <c r="A46" s="1105">
        <v>26</v>
      </c>
      <c r="B46" s="1141" t="s">
        <v>1969</v>
      </c>
      <c r="C46" s="1142"/>
      <c r="D46" s="1141"/>
      <c r="E46" s="1127"/>
      <c r="F46" s="1130"/>
      <c r="G46" s="1130">
        <v>7344.69</v>
      </c>
      <c r="H46" s="1127"/>
      <c r="I46" s="1130"/>
      <c r="J46" s="1130">
        <v>7706.29</v>
      </c>
    </row>
    <row r="47" spans="1:10" ht="42.75">
      <c r="A47" s="1105">
        <v>27</v>
      </c>
      <c r="B47" s="1141" t="s">
        <v>1966</v>
      </c>
      <c r="C47" s="1142"/>
      <c r="D47" s="1141"/>
      <c r="E47" s="1127"/>
      <c r="F47" s="1130"/>
      <c r="G47" s="1130">
        <f>1.1*1.1*2289*1.2*1.1*1.1797*1.1402*0.9368</f>
        <v>4606.855522165925</v>
      </c>
      <c r="H47" s="1127"/>
      <c r="I47" s="1130"/>
      <c r="J47" s="1130">
        <f>1.1*1.1*2289*1.2*1.1*1.1797*1.1402*0.9368</f>
        <v>4606.855522165925</v>
      </c>
    </row>
    <row r="48" spans="1:10" ht="15">
      <c r="A48" s="1143">
        <v>28</v>
      </c>
      <c r="B48" s="239" t="s">
        <v>772</v>
      </c>
      <c r="C48" s="1142"/>
      <c r="D48" s="1141"/>
      <c r="E48" s="1127"/>
      <c r="F48" s="1130"/>
      <c r="G48" s="1136">
        <f>SUM(G43:G47)</f>
        <v>87525.90006881539</v>
      </c>
      <c r="H48" s="1136"/>
      <c r="I48" s="1136"/>
      <c r="J48" s="1136">
        <f>SUM(J43:J47)</f>
        <v>124265.77038217406</v>
      </c>
    </row>
    <row r="49" spans="1:10" ht="32.25" customHeight="1">
      <c r="A49" s="1105">
        <v>29</v>
      </c>
      <c r="B49" s="237" t="s">
        <v>773</v>
      </c>
      <c r="C49" s="1142"/>
      <c r="D49" s="1141"/>
      <c r="E49" s="1127"/>
      <c r="F49" s="1130">
        <v>0.11</v>
      </c>
      <c r="G49" s="1130">
        <f>G43*F49</f>
        <v>6758.018300000001</v>
      </c>
      <c r="H49" s="1127"/>
      <c r="I49" s="1130">
        <v>0.11</v>
      </c>
      <c r="J49" s="1130">
        <f>J43*I49</f>
        <v>10549.047674</v>
      </c>
    </row>
    <row r="50" spans="1:10" ht="14.25">
      <c r="A50" s="1077">
        <v>30</v>
      </c>
      <c r="B50" s="232" t="s">
        <v>498</v>
      </c>
      <c r="C50" s="1140"/>
      <c r="D50" s="232"/>
      <c r="E50" s="233"/>
      <c r="F50" s="233"/>
      <c r="G50" s="235">
        <f>G48+G49</f>
        <v>94283.91836881539</v>
      </c>
      <c r="H50" s="233"/>
      <c r="I50" s="235"/>
      <c r="J50" s="235">
        <f>J48+J49</f>
        <v>134814.81805617406</v>
      </c>
    </row>
    <row r="51" spans="1:10" ht="19.5" customHeight="1">
      <c r="A51" s="46">
        <v>31</v>
      </c>
      <c r="B51" s="1144" t="s">
        <v>1968</v>
      </c>
      <c r="C51" s="1140"/>
      <c r="D51" s="232"/>
      <c r="E51" s="233"/>
      <c r="F51" s="233"/>
      <c r="G51" s="921">
        <f>ROUND(G50,0)</f>
        <v>94284</v>
      </c>
      <c r="H51" s="233"/>
      <c r="I51" s="235"/>
      <c r="J51" s="921">
        <f>ROUND(J50,0)</f>
        <v>134815</v>
      </c>
    </row>
    <row r="52" spans="1:10" ht="15.75">
      <c r="A52" s="88"/>
      <c r="B52" s="82"/>
      <c r="C52" s="89"/>
      <c r="D52" s="90"/>
      <c r="E52" s="87"/>
      <c r="F52" s="87"/>
      <c r="G52" s="54"/>
      <c r="H52" s="87"/>
      <c r="I52" s="53"/>
      <c r="J52" s="54"/>
    </row>
    <row r="53" spans="1:10" ht="15.75">
      <c r="A53" s="61"/>
      <c r="B53" s="184" t="s">
        <v>2020</v>
      </c>
      <c r="C53" s="15"/>
      <c r="D53" s="14"/>
      <c r="E53" s="16"/>
      <c r="F53" s="16"/>
      <c r="G53" s="17"/>
      <c r="H53" s="16"/>
      <c r="I53" s="16"/>
      <c r="J53" s="16"/>
    </row>
    <row r="54" spans="1:10" ht="15">
      <c r="A54" s="185"/>
      <c r="B54" s="186" t="s">
        <v>714</v>
      </c>
      <c r="C54" s="187"/>
      <c r="D54" s="186"/>
      <c r="E54" s="186"/>
      <c r="F54" s="186"/>
      <c r="G54" s="186"/>
      <c r="H54" s="186"/>
      <c r="I54" s="186"/>
      <c r="J54" s="186"/>
    </row>
    <row r="55" spans="1:10" ht="15">
      <c r="A55" s="185"/>
      <c r="B55" s="1361"/>
      <c r="C55" s="1361"/>
      <c r="D55" s="188"/>
      <c r="E55" s="188"/>
      <c r="F55" s="188"/>
      <c r="G55" s="188"/>
      <c r="H55" s="188"/>
      <c r="I55" s="188"/>
      <c r="J55" s="188"/>
    </row>
    <row r="56" spans="1:10" ht="12.75">
      <c r="A56" s="189"/>
      <c r="B56" s="190"/>
      <c r="C56" s="190"/>
      <c r="D56" s="190"/>
      <c r="E56" s="190"/>
      <c r="F56" s="190"/>
      <c r="G56" s="190"/>
      <c r="H56" s="190"/>
      <c r="I56" s="190"/>
      <c r="J56" s="190"/>
    </row>
    <row r="57" spans="1:3" ht="12.75">
      <c r="A57" s="61"/>
      <c r="C57" s="18"/>
    </row>
    <row r="58" spans="1:3" ht="12.75">
      <c r="A58" s="61"/>
      <c r="C58" s="18"/>
    </row>
    <row r="59" spans="1:3" ht="12.75">
      <c r="A59" s="61"/>
      <c r="C59" s="18"/>
    </row>
    <row r="64" spans="1:3" ht="15.75">
      <c r="A64" s="11"/>
      <c r="B64" s="1318" t="s">
        <v>1146</v>
      </c>
      <c r="C64" s="1318"/>
    </row>
    <row r="65" spans="1:3" ht="14.25">
      <c r="A65" s="222" t="s">
        <v>1116</v>
      </c>
      <c r="B65" s="262" t="s">
        <v>574</v>
      </c>
      <c r="C65" s="238">
        <v>7130820158</v>
      </c>
    </row>
  </sheetData>
  <sheetProtection/>
  <mergeCells count="18">
    <mergeCell ref="A5:A6"/>
    <mergeCell ref="B5:B6"/>
    <mergeCell ref="C5:C6"/>
    <mergeCell ref="A15:A20"/>
    <mergeCell ref="B64:C64"/>
    <mergeCell ref="C1:G1"/>
    <mergeCell ref="H4:I4"/>
    <mergeCell ref="E5:G5"/>
    <mergeCell ref="H5:J5"/>
    <mergeCell ref="D5:D6"/>
    <mergeCell ref="B3:I3"/>
    <mergeCell ref="B55:C55"/>
    <mergeCell ref="L37:M37"/>
    <mergeCell ref="A8:A10"/>
    <mergeCell ref="L12:M12"/>
    <mergeCell ref="L14:M14"/>
    <mergeCell ref="A29:A34"/>
    <mergeCell ref="A22:A23"/>
  </mergeCells>
  <printOptions/>
  <pageMargins left="0.75" right="0.15" top="0.65" bottom="0.28" header="0.5" footer="0.17"/>
  <pageSetup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11"/>
  </sheetPr>
  <dimension ref="A1:N41"/>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 sqref="A1"/>
    </sheetView>
  </sheetViews>
  <sheetFormatPr defaultColWidth="9.140625" defaultRowHeight="12.75"/>
  <cols>
    <col min="1" max="1" width="4.57421875" style="2" customWidth="1"/>
    <col min="2" max="2" width="44.140625" style="2" customWidth="1"/>
    <col min="3" max="3" width="11.57421875" style="2" customWidth="1"/>
    <col min="4" max="4" width="5.57421875" style="2" customWidth="1"/>
    <col min="5" max="5" width="9.7109375" style="2" customWidth="1"/>
    <col min="6" max="6" width="5.57421875" style="2" customWidth="1"/>
    <col min="7" max="7" width="13.8515625" style="2" customWidth="1"/>
    <col min="8" max="8" width="14.28125" style="2" customWidth="1"/>
    <col min="9" max="9" width="11.8515625" style="2" customWidth="1"/>
    <col min="10" max="10" width="12.421875" style="2" customWidth="1"/>
    <col min="11" max="11" width="13.8515625" style="2" customWidth="1"/>
    <col min="12" max="16384" width="9.140625" style="2" customWidth="1"/>
  </cols>
  <sheetData>
    <row r="1" spans="2:5" ht="18">
      <c r="B1" s="1279" t="s">
        <v>2110</v>
      </c>
      <c r="C1" s="1279"/>
      <c r="D1" s="1279"/>
      <c r="E1" s="1279"/>
    </row>
    <row r="2" ht="15">
      <c r="H2" s="897" t="s">
        <v>1153</v>
      </c>
    </row>
    <row r="3" spans="2:8" ht="42.75" customHeight="1">
      <c r="B3" s="1362" t="s">
        <v>2111</v>
      </c>
      <c r="C3" s="1362"/>
      <c r="D3" s="1362"/>
      <c r="E3" s="1362"/>
      <c r="F3" s="1362"/>
      <c r="G3" s="1362"/>
      <c r="H3" s="1362"/>
    </row>
    <row r="4" spans="2:9" ht="12.75" customHeight="1">
      <c r="B4" s="892"/>
      <c r="C4" s="892"/>
      <c r="D4" s="892"/>
      <c r="E4" s="892"/>
      <c r="F4" s="892"/>
      <c r="G4" s="892"/>
      <c r="H4" s="892"/>
      <c r="I4" s="97"/>
    </row>
    <row r="5" spans="1:8" ht="45.75" customHeight="1">
      <c r="A5" s="1353" t="s">
        <v>1947</v>
      </c>
      <c r="B5" s="1353" t="s">
        <v>1057</v>
      </c>
      <c r="C5" s="1353" t="s">
        <v>360</v>
      </c>
      <c r="D5" s="1353" t="s">
        <v>1058</v>
      </c>
      <c r="E5" s="1353" t="s">
        <v>361</v>
      </c>
      <c r="F5" s="1353" t="s">
        <v>1329</v>
      </c>
      <c r="G5" s="1326" t="s">
        <v>1651</v>
      </c>
      <c r="H5" s="1326"/>
    </row>
    <row r="6" spans="1:14" ht="45" customHeight="1">
      <c r="A6" s="1353"/>
      <c r="B6" s="1353"/>
      <c r="C6" s="1353"/>
      <c r="D6" s="1353"/>
      <c r="E6" s="1353"/>
      <c r="F6" s="1353"/>
      <c r="G6" s="46" t="s">
        <v>2114</v>
      </c>
      <c r="H6" s="46" t="s">
        <v>2115</v>
      </c>
      <c r="I6" s="901"/>
      <c r="J6" s="901"/>
      <c r="K6" s="145"/>
      <c r="L6" s="902"/>
      <c r="M6" s="902"/>
      <c r="N6" s="145"/>
    </row>
    <row r="7" spans="1:8" ht="13.5">
      <c r="A7" s="172">
        <v>1</v>
      </c>
      <c r="B7" s="172">
        <v>2</v>
      </c>
      <c r="C7" s="172">
        <v>3</v>
      </c>
      <c r="D7" s="172">
        <v>4</v>
      </c>
      <c r="E7" s="172">
        <v>5</v>
      </c>
      <c r="F7" s="172">
        <v>6</v>
      </c>
      <c r="G7" s="172">
        <v>7</v>
      </c>
      <c r="H7" s="172">
        <v>8</v>
      </c>
    </row>
    <row r="8" spans="1:13" ht="28.5" customHeight="1">
      <c r="A8" s="270">
        <v>1</v>
      </c>
      <c r="B8" s="250" t="s">
        <v>1657</v>
      </c>
      <c r="C8" s="255">
        <v>7130601958</v>
      </c>
      <c r="D8" s="251" t="s">
        <v>1070</v>
      </c>
      <c r="E8" s="271">
        <f>VLOOKUP(C8,'SOR RATE'!A:D,4,0)/1000</f>
        <v>44.989</v>
      </c>
      <c r="F8" s="1116">
        <v>482.3</v>
      </c>
      <c r="G8" s="271">
        <f>E8*F8</f>
        <v>21698.1947</v>
      </c>
      <c r="H8" s="271">
        <f>E8*F8</f>
        <v>21698.1947</v>
      </c>
      <c r="I8" s="42"/>
      <c r="J8" s="42"/>
      <c r="K8" s="104"/>
      <c r="L8" s="104"/>
      <c r="M8" s="104"/>
    </row>
    <row r="9" spans="1:8" ht="28.5" customHeight="1">
      <c r="A9" s="270">
        <v>2</v>
      </c>
      <c r="B9" s="250" t="s">
        <v>2112</v>
      </c>
      <c r="C9" s="255"/>
      <c r="D9" s="270" t="s">
        <v>1025</v>
      </c>
      <c r="E9" s="271">
        <v>675.6</v>
      </c>
      <c r="F9" s="270">
        <v>50</v>
      </c>
      <c r="G9" s="271">
        <f>E9*F9</f>
        <v>33780</v>
      </c>
      <c r="H9" s="270"/>
    </row>
    <row r="10" spans="1:8" ht="29.25" customHeight="1">
      <c r="A10" s="270">
        <v>3</v>
      </c>
      <c r="B10" s="250" t="s">
        <v>2113</v>
      </c>
      <c r="C10" s="255"/>
      <c r="D10" s="270" t="s">
        <v>1025</v>
      </c>
      <c r="E10" s="271">
        <v>768.36</v>
      </c>
      <c r="F10" s="270">
        <v>50</v>
      </c>
      <c r="G10" s="270"/>
      <c r="H10" s="271">
        <f aca="true" t="shared" si="0" ref="H10:H15">E10*F10</f>
        <v>38418</v>
      </c>
    </row>
    <row r="11" spans="1:8" ht="15" customHeight="1">
      <c r="A11" s="270">
        <v>4</v>
      </c>
      <c r="B11" s="281" t="s">
        <v>1155</v>
      </c>
      <c r="C11" s="255">
        <v>7130820011</v>
      </c>
      <c r="D11" s="270" t="s">
        <v>1022</v>
      </c>
      <c r="E11" s="271">
        <f>VLOOKUP(C11,'SOR RATE'!A:D,4,0)</f>
        <v>354</v>
      </c>
      <c r="F11" s="270">
        <v>3</v>
      </c>
      <c r="G11" s="271">
        <f>E11*F11</f>
        <v>1062</v>
      </c>
      <c r="H11" s="271">
        <f t="shared" si="0"/>
        <v>1062</v>
      </c>
    </row>
    <row r="12" spans="1:8" ht="16.5" customHeight="1">
      <c r="A12" s="270">
        <v>5</v>
      </c>
      <c r="B12" s="272" t="s">
        <v>362</v>
      </c>
      <c r="C12" s="270">
        <v>7130870013</v>
      </c>
      <c r="D12" s="270" t="s">
        <v>1023</v>
      </c>
      <c r="E12" s="271">
        <f>VLOOKUP(C12,'SOR RATE'!A:D,4,0)</f>
        <v>100</v>
      </c>
      <c r="F12" s="270">
        <v>1</v>
      </c>
      <c r="G12" s="271">
        <f>E12*F12</f>
        <v>100</v>
      </c>
      <c r="H12" s="271">
        <f t="shared" si="0"/>
        <v>100</v>
      </c>
    </row>
    <row r="13" spans="1:8" ht="15.75" customHeight="1">
      <c r="A13" s="270">
        <v>6</v>
      </c>
      <c r="B13" s="274" t="s">
        <v>363</v>
      </c>
      <c r="C13" s="270">
        <v>7130810681</v>
      </c>
      <c r="D13" s="270" t="s">
        <v>1023</v>
      </c>
      <c r="E13" s="271">
        <f>VLOOKUP(C13,'SOR RATE'!A:D,4,0)</f>
        <v>3227</v>
      </c>
      <c r="F13" s="270">
        <v>2</v>
      </c>
      <c r="G13" s="271">
        <f>E13*F13</f>
        <v>6454</v>
      </c>
      <c r="H13" s="271">
        <f t="shared" si="0"/>
        <v>6454</v>
      </c>
    </row>
    <row r="14" spans="1:8" ht="14.25" customHeight="1">
      <c r="A14" s="270">
        <v>7</v>
      </c>
      <c r="B14" s="274" t="s">
        <v>364</v>
      </c>
      <c r="C14" s="270">
        <v>7130860033</v>
      </c>
      <c r="D14" s="270" t="s">
        <v>1061</v>
      </c>
      <c r="E14" s="271">
        <f>VLOOKUP(C14,'SOR RATE'!A:D,4,0)</f>
        <v>705</v>
      </c>
      <c r="F14" s="270">
        <v>2</v>
      </c>
      <c r="G14" s="271">
        <f>E14*F14</f>
        <v>1410</v>
      </c>
      <c r="H14" s="271">
        <f t="shared" si="0"/>
        <v>1410</v>
      </c>
    </row>
    <row r="15" spans="1:8" ht="16.5" customHeight="1">
      <c r="A15" s="270">
        <v>8</v>
      </c>
      <c r="B15" s="274" t="s">
        <v>365</v>
      </c>
      <c r="C15" s="270">
        <v>7130860076</v>
      </c>
      <c r="D15" s="270" t="s">
        <v>1070</v>
      </c>
      <c r="E15" s="271">
        <f>VLOOKUP(C15,'SOR RATE'!A:D,4,0)/1000</f>
        <v>61.002</v>
      </c>
      <c r="F15" s="270">
        <v>17</v>
      </c>
      <c r="G15" s="271">
        <f>E15*F15</f>
        <v>1037.034</v>
      </c>
      <c r="H15" s="271">
        <f t="shared" si="0"/>
        <v>1037.034</v>
      </c>
    </row>
    <row r="16" spans="1:10" ht="30" customHeight="1">
      <c r="A16" s="1354">
        <v>9</v>
      </c>
      <c r="B16" s="254" t="s">
        <v>1931</v>
      </c>
      <c r="C16" s="270"/>
      <c r="D16" s="276" t="s">
        <v>1065</v>
      </c>
      <c r="E16" s="1117"/>
      <c r="F16" s="277">
        <f>0.65+0.6</f>
        <v>1.25</v>
      </c>
      <c r="G16" s="271"/>
      <c r="H16" s="271"/>
      <c r="I16" s="1"/>
      <c r="J16" s="1"/>
    </row>
    <row r="17" spans="1:8" ht="16.5" customHeight="1">
      <c r="A17" s="1355"/>
      <c r="B17" s="278" t="s">
        <v>987</v>
      </c>
      <c r="C17" s="270">
        <v>7130200401</v>
      </c>
      <c r="D17" s="270" t="s">
        <v>1070</v>
      </c>
      <c r="E17" s="271">
        <f>VLOOKUP(C17,'SOR RATE'!A:D,4,0)/50</f>
        <v>5.36</v>
      </c>
      <c r="F17" s="270">
        <f>208*1.25</f>
        <v>260</v>
      </c>
      <c r="G17" s="271">
        <f aca="true" t="shared" si="1" ref="G17:G22">E17*F17</f>
        <v>1393.6000000000001</v>
      </c>
      <c r="H17" s="271">
        <f aca="true" t="shared" si="2" ref="H17:H22">E17*F17</f>
        <v>1393.6000000000001</v>
      </c>
    </row>
    <row r="18" spans="1:8" ht="14.25" customHeight="1">
      <c r="A18" s="279">
        <v>10</v>
      </c>
      <c r="B18" s="1118" t="s">
        <v>1066</v>
      </c>
      <c r="C18" s="255">
        <v>7130211158</v>
      </c>
      <c r="D18" s="251" t="s">
        <v>1067</v>
      </c>
      <c r="E18" s="271">
        <f>VLOOKUP(C18,'SOR RATE'!A:D,4,0)</f>
        <v>130</v>
      </c>
      <c r="F18" s="270">
        <v>1</v>
      </c>
      <c r="G18" s="271">
        <f t="shared" si="1"/>
        <v>130</v>
      </c>
      <c r="H18" s="271">
        <f t="shared" si="2"/>
        <v>130</v>
      </c>
    </row>
    <row r="19" spans="1:8" ht="14.25" customHeight="1">
      <c r="A19" s="270">
        <v>11</v>
      </c>
      <c r="B19" s="1118" t="s">
        <v>1068</v>
      </c>
      <c r="C19" s="255">
        <v>7130210809</v>
      </c>
      <c r="D19" s="251" t="s">
        <v>1067</v>
      </c>
      <c r="E19" s="271">
        <f>VLOOKUP(C19,'SOR RATE'!A:D,4,0)</f>
        <v>290</v>
      </c>
      <c r="F19" s="270">
        <v>1</v>
      </c>
      <c r="G19" s="271">
        <f t="shared" si="1"/>
        <v>290</v>
      </c>
      <c r="H19" s="271">
        <f t="shared" si="2"/>
        <v>290</v>
      </c>
    </row>
    <row r="20" spans="1:11" ht="14.25" customHeight="1">
      <c r="A20" s="279">
        <v>12</v>
      </c>
      <c r="B20" s="250" t="s">
        <v>430</v>
      </c>
      <c r="C20" s="255">
        <v>7130610206</v>
      </c>
      <c r="D20" s="251" t="s">
        <v>1070</v>
      </c>
      <c r="E20" s="271">
        <f>VLOOKUP(C20,'SOR RATE'!A:D,4,0)/1000</f>
        <v>66.528</v>
      </c>
      <c r="F20" s="270">
        <v>1</v>
      </c>
      <c r="G20" s="271">
        <f t="shared" si="1"/>
        <v>66.528</v>
      </c>
      <c r="H20" s="271">
        <f t="shared" si="2"/>
        <v>66.528</v>
      </c>
      <c r="I20" s="144"/>
      <c r="J20" s="144"/>
      <c r="K20" s="104"/>
    </row>
    <row r="21" spans="1:8" ht="15" customHeight="1">
      <c r="A21" s="270">
        <v>13</v>
      </c>
      <c r="B21" s="1118" t="s">
        <v>1957</v>
      </c>
      <c r="C21" s="255">
        <v>7130880041</v>
      </c>
      <c r="D21" s="251" t="s">
        <v>1061</v>
      </c>
      <c r="E21" s="271">
        <f>VLOOKUP(C21,'SOR RATE'!A:D,4,0)</f>
        <v>74</v>
      </c>
      <c r="F21" s="270">
        <v>1</v>
      </c>
      <c r="G21" s="271">
        <f t="shared" si="1"/>
        <v>74</v>
      </c>
      <c r="H21" s="271">
        <f t="shared" si="2"/>
        <v>74</v>
      </c>
    </row>
    <row r="22" spans="1:8" ht="14.25" customHeight="1">
      <c r="A22" s="279">
        <v>14</v>
      </c>
      <c r="B22" s="250" t="s">
        <v>1676</v>
      </c>
      <c r="C22" s="255">
        <v>7130810692</v>
      </c>
      <c r="D22" s="251" t="s">
        <v>1061</v>
      </c>
      <c r="E22" s="271">
        <f>VLOOKUP(C22,'SOR RATE'!A:D,4,0)</f>
        <v>294</v>
      </c>
      <c r="F22" s="270">
        <v>4</v>
      </c>
      <c r="G22" s="271">
        <f t="shared" si="1"/>
        <v>1176</v>
      </c>
      <c r="H22" s="271">
        <f t="shared" si="2"/>
        <v>1176</v>
      </c>
    </row>
    <row r="23" spans="1:8" ht="13.5" customHeight="1">
      <c r="A23" s="279">
        <v>15</v>
      </c>
      <c r="B23" s="1118" t="s">
        <v>366</v>
      </c>
      <c r="C23" s="255">
        <v>7130620609</v>
      </c>
      <c r="D23" s="251" t="s">
        <v>1070</v>
      </c>
      <c r="E23" s="271">
        <f>VLOOKUP(C23,'SOR RATE'!A:D,4,0)</f>
        <v>64</v>
      </c>
      <c r="F23" s="270">
        <v>5</v>
      </c>
      <c r="G23" s="271">
        <f>E23*F23</f>
        <v>320</v>
      </c>
      <c r="H23" s="271">
        <f>E23*F23</f>
        <v>320</v>
      </c>
    </row>
    <row r="24" spans="1:8" ht="13.5" customHeight="1">
      <c r="A24" s="270">
        <v>16</v>
      </c>
      <c r="B24" s="1118" t="s">
        <v>367</v>
      </c>
      <c r="C24" s="255">
        <v>7130620614</v>
      </c>
      <c r="D24" s="251" t="s">
        <v>1070</v>
      </c>
      <c r="E24" s="271">
        <f>VLOOKUP(C24,'SOR RATE'!A:D,4,0)</f>
        <v>63</v>
      </c>
      <c r="F24" s="270">
        <v>1</v>
      </c>
      <c r="G24" s="271">
        <f>E24*F24</f>
        <v>63</v>
      </c>
      <c r="H24" s="271">
        <f>E24*F24</f>
        <v>63</v>
      </c>
    </row>
    <row r="25" spans="1:13" ht="16.5" customHeight="1">
      <c r="A25" s="270">
        <v>17</v>
      </c>
      <c r="B25" s="281" t="s">
        <v>1171</v>
      </c>
      <c r="C25" s="270">
        <v>7130877681</v>
      </c>
      <c r="D25" s="251" t="s">
        <v>1023</v>
      </c>
      <c r="E25" s="271">
        <f>VLOOKUP(C25,'SOR RATE'!A:D,4,0)</f>
        <v>2270</v>
      </c>
      <c r="F25" s="270">
        <v>2</v>
      </c>
      <c r="G25" s="271">
        <f>E25*F25</f>
        <v>4540</v>
      </c>
      <c r="H25" s="271">
        <f>+G25</f>
        <v>4540</v>
      </c>
      <c r="I25" s="191"/>
      <c r="J25" s="191"/>
      <c r="K25" s="191"/>
      <c r="L25" s="107"/>
      <c r="M25" s="107"/>
    </row>
    <row r="26" spans="1:11" ht="41.25" customHeight="1">
      <c r="A26" s="270">
        <v>18</v>
      </c>
      <c r="B26" s="281" t="s">
        <v>1172</v>
      </c>
      <c r="C26" s="270">
        <v>7130642039</v>
      </c>
      <c r="D26" s="282" t="s">
        <v>1061</v>
      </c>
      <c r="E26" s="271">
        <f>VLOOKUP(C26,'SOR RATE'!A:D,4,0)</f>
        <v>820</v>
      </c>
      <c r="F26" s="270">
        <v>3</v>
      </c>
      <c r="G26" s="271">
        <f>E26*F26</f>
        <v>2460</v>
      </c>
      <c r="H26" s="271">
        <f>+G26</f>
        <v>2460</v>
      </c>
      <c r="I26" s="106"/>
      <c r="J26" s="105"/>
      <c r="K26" s="105"/>
    </row>
    <row r="27" spans="1:11" ht="29.25" customHeight="1">
      <c r="A27" s="270">
        <v>19</v>
      </c>
      <c r="B27" s="281" t="s">
        <v>812</v>
      </c>
      <c r="C27" s="282">
        <v>7130320053</v>
      </c>
      <c r="D27" s="282" t="s">
        <v>1061</v>
      </c>
      <c r="E27" s="271">
        <f>VLOOKUP(C27,'SOR RATE'!A:D,4,0)</f>
        <v>5</v>
      </c>
      <c r="F27" s="270">
        <v>25</v>
      </c>
      <c r="G27" s="271">
        <f>E27*F27</f>
        <v>125</v>
      </c>
      <c r="H27" s="271">
        <f>+G27</f>
        <v>125</v>
      </c>
      <c r="J27" s="105"/>
      <c r="K27" s="105"/>
    </row>
    <row r="28" spans="1:11" ht="15.75" customHeight="1">
      <c r="A28" s="283">
        <v>20</v>
      </c>
      <c r="B28" s="1057" t="s">
        <v>771</v>
      </c>
      <c r="C28" s="284"/>
      <c r="D28" s="284"/>
      <c r="E28" s="283"/>
      <c r="F28" s="283"/>
      <c r="G28" s="285">
        <f>SUM(G8:G27)</f>
        <v>76179.35670000002</v>
      </c>
      <c r="H28" s="285">
        <f>SUM(H8:H27)</f>
        <v>80817.3567</v>
      </c>
      <c r="J28" s="197"/>
      <c r="K28" s="197"/>
    </row>
    <row r="29" spans="1:8" ht="15.75" customHeight="1">
      <c r="A29" s="270">
        <v>21</v>
      </c>
      <c r="B29" s="250" t="s">
        <v>770</v>
      </c>
      <c r="C29" s="279"/>
      <c r="D29" s="279"/>
      <c r="E29" s="270">
        <v>0.09</v>
      </c>
      <c r="F29" s="270"/>
      <c r="G29" s="271">
        <f>E29*G28</f>
        <v>6856.142103000001</v>
      </c>
      <c r="H29" s="271">
        <f>E29*H28</f>
        <v>7273.562103</v>
      </c>
    </row>
    <row r="30" spans="1:8" ht="14.25" customHeight="1">
      <c r="A30" s="279">
        <v>22</v>
      </c>
      <c r="B30" s="1118" t="s">
        <v>1908</v>
      </c>
      <c r="C30" s="279"/>
      <c r="D30" s="279"/>
      <c r="E30" s="271">
        <f>25000*1.086275*1.1112*1.0685</f>
        <v>32243.824785750003</v>
      </c>
      <c r="F30" s="270">
        <v>1</v>
      </c>
      <c r="G30" s="271">
        <f>E30*F30</f>
        <v>32243.824785750003</v>
      </c>
      <c r="H30" s="271">
        <f>E30*F30</f>
        <v>32243.824785750003</v>
      </c>
    </row>
    <row r="31" spans="1:8" ht="15.75" customHeight="1">
      <c r="A31" s="279">
        <v>23</v>
      </c>
      <c r="B31" s="1118" t="s">
        <v>368</v>
      </c>
      <c r="C31" s="279"/>
      <c r="D31" s="279"/>
      <c r="E31" s="271">
        <f>10000*1.1797*1.1402*0.9368</f>
        <v>12600.84002992</v>
      </c>
      <c r="F31" s="270">
        <v>1</v>
      </c>
      <c r="G31" s="271">
        <f>E31*F31</f>
        <v>12600.84002992</v>
      </c>
      <c r="H31" s="271">
        <f>E31*F31</f>
        <v>12600.84002992</v>
      </c>
    </row>
    <row r="32" spans="1:8" ht="15" customHeight="1">
      <c r="A32" s="279">
        <v>24</v>
      </c>
      <c r="B32" s="1118" t="s">
        <v>369</v>
      </c>
      <c r="C32" s="279"/>
      <c r="D32" s="270" t="s">
        <v>1065</v>
      </c>
      <c r="E32" s="260">
        <f>1664*1.27*1.0891*1.086275*1.1112*1.0685</f>
        <v>2968.460981603261</v>
      </c>
      <c r="F32" s="270">
        <v>1.25</v>
      </c>
      <c r="G32" s="271">
        <f>E32*F32</f>
        <v>3710.5762270040764</v>
      </c>
      <c r="H32" s="271">
        <f>E32*F32</f>
        <v>3710.5762270040764</v>
      </c>
    </row>
    <row r="33" spans="1:8" ht="15" customHeight="1">
      <c r="A33" s="279">
        <v>25</v>
      </c>
      <c r="B33" s="286" t="s">
        <v>810</v>
      </c>
      <c r="C33" s="1119"/>
      <c r="D33" s="282" t="s">
        <v>1061</v>
      </c>
      <c r="E33" s="288">
        <f>1417.73*1.086275*1.1112*1.0685</f>
        <v>1828.5215085400541</v>
      </c>
      <c r="F33" s="270">
        <v>2</v>
      </c>
      <c r="G33" s="271">
        <f>E33*F33</f>
        <v>3657.0430170801083</v>
      </c>
      <c r="H33" s="271">
        <f>E33*F33</f>
        <v>3657.0430170801083</v>
      </c>
    </row>
    <row r="34" spans="1:8" ht="14.25" customHeight="1">
      <c r="A34" s="284">
        <v>26</v>
      </c>
      <c r="B34" s="1057" t="s">
        <v>772</v>
      </c>
      <c r="C34" s="1119"/>
      <c r="D34" s="282"/>
      <c r="E34" s="288"/>
      <c r="F34" s="270"/>
      <c r="G34" s="285">
        <f>SUM(G28:G33)</f>
        <v>135247.78286275422</v>
      </c>
      <c r="H34" s="285">
        <f>SUM(H28:H33)</f>
        <v>140303.2028627542</v>
      </c>
    </row>
    <row r="35" spans="1:8" ht="28.5" customHeight="1">
      <c r="A35" s="276">
        <v>27</v>
      </c>
      <c r="B35" s="250" t="s">
        <v>773</v>
      </c>
      <c r="C35" s="1119"/>
      <c r="D35" s="282"/>
      <c r="E35" s="288">
        <v>0.11</v>
      </c>
      <c r="F35" s="270"/>
      <c r="G35" s="271">
        <f>G28*E35</f>
        <v>8379.729237000001</v>
      </c>
      <c r="H35" s="271">
        <f>H28*E35</f>
        <v>8889.909237</v>
      </c>
    </row>
    <row r="36" spans="1:8" ht="15">
      <c r="A36" s="284">
        <v>28</v>
      </c>
      <c r="B36" s="1120" t="s">
        <v>370</v>
      </c>
      <c r="C36" s="279"/>
      <c r="D36" s="279"/>
      <c r="E36" s="279"/>
      <c r="F36" s="279"/>
      <c r="G36" s="1092">
        <f>G34+G35</f>
        <v>143627.5120997542</v>
      </c>
      <c r="H36" s="1092">
        <f>H34+H35</f>
        <v>149193.11209975422</v>
      </c>
    </row>
    <row r="37" spans="1:8" ht="15">
      <c r="A37" s="284">
        <v>29</v>
      </c>
      <c r="B37" s="1120" t="s">
        <v>371</v>
      </c>
      <c r="C37" s="289"/>
      <c r="D37" s="289"/>
      <c r="E37" s="289"/>
      <c r="F37" s="289"/>
      <c r="G37" s="1092">
        <f>ROUND(G36,0)</f>
        <v>143628</v>
      </c>
      <c r="H37" s="1092">
        <f>ROUND(H36,0)</f>
        <v>149193</v>
      </c>
    </row>
    <row r="38" ht="9" customHeight="1"/>
    <row r="39" spans="1:6" ht="12" customHeight="1">
      <c r="A39" s="173"/>
      <c r="B39" s="105"/>
      <c r="C39" s="105"/>
      <c r="D39" s="105"/>
      <c r="E39" s="105"/>
      <c r="F39" s="105"/>
    </row>
    <row r="41" ht="12.75" customHeight="1">
      <c r="A41" s="152"/>
    </row>
  </sheetData>
  <sheetProtection/>
  <mergeCells count="10">
    <mergeCell ref="B1:E1"/>
    <mergeCell ref="B3:H3"/>
    <mergeCell ref="B5:B6"/>
    <mergeCell ref="G5:H5"/>
    <mergeCell ref="F5:F6"/>
    <mergeCell ref="A16:A17"/>
    <mergeCell ref="E5:E6"/>
    <mergeCell ref="D5:D6"/>
    <mergeCell ref="C5:C6"/>
    <mergeCell ref="A5:A6"/>
  </mergeCells>
  <printOptions/>
  <pageMargins left="0.84" right="0.12" top="0.72" bottom="0.32" header="0.5" footer="0.16"/>
  <pageSetup horizontalDpi="600" verticalDpi="600" orientation="landscape" scale="115" r:id="rId1"/>
</worksheet>
</file>

<file path=xl/worksheets/sheet16.xml><?xml version="1.0" encoding="utf-8"?>
<worksheet xmlns="http://schemas.openxmlformats.org/spreadsheetml/2006/main" xmlns:r="http://schemas.openxmlformats.org/officeDocument/2006/relationships">
  <sheetPr>
    <tabColor indexed="11"/>
  </sheetPr>
  <dimension ref="A1:Q169"/>
  <sheetViews>
    <sheetView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A1" sqref="A1"/>
    </sheetView>
  </sheetViews>
  <sheetFormatPr defaultColWidth="9.140625" defaultRowHeight="12.75"/>
  <cols>
    <col min="1" max="1" width="4.7109375" style="2" customWidth="1"/>
    <col min="2" max="2" width="5.28125" style="2" bestFit="1" customWidth="1"/>
    <col min="3" max="3" width="39.28125" style="2" customWidth="1"/>
    <col min="4" max="4" width="15.00390625" style="79" customWidth="1"/>
    <col min="5" max="5" width="6.421875" style="2" bestFit="1" customWidth="1"/>
    <col min="6" max="6" width="14.140625" style="2" bestFit="1" customWidth="1"/>
    <col min="7" max="7" width="8.28125" style="2" customWidth="1"/>
    <col min="8" max="8" width="19.00390625" style="2" bestFit="1" customWidth="1"/>
    <col min="9" max="9" width="8.57421875" style="2" bestFit="1" customWidth="1"/>
    <col min="10" max="10" width="19.00390625" style="2" bestFit="1" customWidth="1"/>
    <col min="11" max="11" width="8.421875" style="2" bestFit="1" customWidth="1"/>
    <col min="12" max="12" width="19.00390625" style="2" bestFit="1" customWidth="1"/>
    <col min="13" max="13" width="49.140625" style="2" customWidth="1"/>
    <col min="14" max="14" width="12.421875" style="2" bestFit="1" customWidth="1"/>
    <col min="15" max="15" width="13.57421875" style="2" bestFit="1" customWidth="1"/>
    <col min="16" max="16" width="9.140625" style="2" customWidth="1"/>
    <col min="17" max="17" width="14.8515625" style="2" bestFit="1" customWidth="1"/>
    <col min="18" max="16384" width="9.140625" style="2" customWidth="1"/>
  </cols>
  <sheetData>
    <row r="1" spans="2:12" ht="18">
      <c r="B1" s="126"/>
      <c r="C1" s="126"/>
      <c r="D1" s="291"/>
      <c r="E1" s="1279" t="s">
        <v>585</v>
      </c>
      <c r="F1" s="1279"/>
      <c r="G1" s="1279"/>
      <c r="H1" s="1279"/>
      <c r="I1" s="126"/>
      <c r="J1" s="126"/>
      <c r="K1" s="126"/>
      <c r="L1" s="126"/>
    </row>
    <row r="2" spans="1:12" ht="12.75" customHeight="1">
      <c r="A2" s="291"/>
      <c r="B2" s="291"/>
      <c r="C2" s="291"/>
      <c r="D2" s="291"/>
      <c r="E2" s="291"/>
      <c r="F2" s="291"/>
      <c r="G2" s="291"/>
      <c r="H2" s="291"/>
      <c r="I2" s="291"/>
      <c r="J2" s="291"/>
      <c r="K2" s="291"/>
      <c r="L2" s="291"/>
    </row>
    <row r="3" spans="2:12" ht="36" customHeight="1">
      <c r="B3" s="292"/>
      <c r="C3" s="1290" t="s">
        <v>1685</v>
      </c>
      <c r="D3" s="1290"/>
      <c r="E3" s="1290"/>
      <c r="F3" s="1290"/>
      <c r="G3" s="1290"/>
      <c r="H3" s="1290"/>
      <c r="I3" s="1290"/>
      <c r="J3" s="1290"/>
      <c r="K3" s="292"/>
      <c r="L3" s="292"/>
    </row>
    <row r="4" spans="1:12" ht="11.25" customHeight="1">
      <c r="A4" s="292"/>
      <c r="B4" s="292"/>
      <c r="C4" s="292"/>
      <c r="D4" s="76"/>
      <c r="E4" s="292"/>
      <c r="F4" s="292"/>
      <c r="G4" s="292"/>
      <c r="H4" s="292"/>
      <c r="I4" s="292"/>
      <c r="J4" s="292"/>
      <c r="K4" s="292"/>
      <c r="L4" s="292"/>
    </row>
    <row r="5" spans="2:12" ht="15.75">
      <c r="B5" s="154"/>
      <c r="C5" s="154"/>
      <c r="D5" s="70"/>
      <c r="E5" s="154"/>
      <c r="F5" s="154"/>
      <c r="G5" s="154"/>
      <c r="H5" s="154"/>
      <c r="I5" s="154"/>
      <c r="J5" s="154"/>
      <c r="K5" s="154"/>
      <c r="L5" s="219" t="s">
        <v>1153</v>
      </c>
    </row>
    <row r="6" spans="1:12" ht="12.75">
      <c r="A6" s="1336" t="s">
        <v>1947</v>
      </c>
      <c r="B6" s="1369" t="s">
        <v>1057</v>
      </c>
      <c r="C6" s="1370"/>
      <c r="D6" s="1266" t="s">
        <v>1331</v>
      </c>
      <c r="E6" s="1363" t="s">
        <v>1058</v>
      </c>
      <c r="F6" s="1363" t="s">
        <v>428</v>
      </c>
      <c r="G6" s="1283" t="s">
        <v>1686</v>
      </c>
      <c r="H6" s="1283"/>
      <c r="I6" s="1283" t="s">
        <v>1687</v>
      </c>
      <c r="J6" s="1283"/>
      <c r="K6" s="1283" t="s">
        <v>1688</v>
      </c>
      <c r="L6" s="1283"/>
    </row>
    <row r="7" spans="1:12" ht="12.75">
      <c r="A7" s="1377"/>
      <c r="B7" s="1371"/>
      <c r="C7" s="1372"/>
      <c r="D7" s="1266"/>
      <c r="E7" s="1363"/>
      <c r="F7" s="1363"/>
      <c r="G7" s="1283"/>
      <c r="H7" s="1283"/>
      <c r="I7" s="1283"/>
      <c r="J7" s="1283"/>
      <c r="K7" s="1283"/>
      <c r="L7" s="1283"/>
    </row>
    <row r="8" spans="1:12" ht="24" customHeight="1">
      <c r="A8" s="1377"/>
      <c r="B8" s="1371"/>
      <c r="C8" s="1372"/>
      <c r="D8" s="1266"/>
      <c r="E8" s="1363"/>
      <c r="F8" s="1363"/>
      <c r="G8" s="1283"/>
      <c r="H8" s="1283"/>
      <c r="I8" s="1283"/>
      <c r="J8" s="1283"/>
      <c r="K8" s="1283"/>
      <c r="L8" s="1283"/>
    </row>
    <row r="9" spans="1:12" ht="19.5" customHeight="1">
      <c r="A9" s="1337"/>
      <c r="B9" s="1373"/>
      <c r="C9" s="1374"/>
      <c r="D9" s="1266"/>
      <c r="E9" s="1363"/>
      <c r="F9" s="1363"/>
      <c r="G9" s="35" t="s">
        <v>2189</v>
      </c>
      <c r="H9" s="35" t="s">
        <v>1434</v>
      </c>
      <c r="I9" s="35" t="s">
        <v>2189</v>
      </c>
      <c r="J9" s="35" t="s">
        <v>1434</v>
      </c>
      <c r="K9" s="35" t="s">
        <v>2189</v>
      </c>
      <c r="L9" s="35" t="s">
        <v>1434</v>
      </c>
    </row>
    <row r="10" spans="1:12" ht="15.75">
      <c r="A10" s="293">
        <v>1</v>
      </c>
      <c r="B10" s="1364">
        <v>2</v>
      </c>
      <c r="C10" s="1365"/>
      <c r="D10" s="294">
        <v>3</v>
      </c>
      <c r="E10" s="294">
        <v>4</v>
      </c>
      <c r="F10" s="293">
        <v>5</v>
      </c>
      <c r="G10" s="293">
        <v>6</v>
      </c>
      <c r="H10" s="293">
        <v>7</v>
      </c>
      <c r="I10" s="293">
        <v>8</v>
      </c>
      <c r="J10" s="293">
        <v>9</v>
      </c>
      <c r="K10" s="293">
        <v>10</v>
      </c>
      <c r="L10" s="294">
        <v>11</v>
      </c>
    </row>
    <row r="11" spans="1:12" ht="15.75">
      <c r="A11" s="1381">
        <v>1</v>
      </c>
      <c r="B11" s="295"/>
      <c r="C11" s="296" t="s">
        <v>1689</v>
      </c>
      <c r="D11" s="1384"/>
      <c r="E11" s="1385"/>
      <c r="F11" s="1385"/>
      <c r="G11" s="1385"/>
      <c r="H11" s="1385"/>
      <c r="I11" s="1385"/>
      <c r="J11" s="1385"/>
      <c r="K11" s="1385"/>
      <c r="L11" s="1386"/>
    </row>
    <row r="12" spans="1:12" ht="28.5">
      <c r="A12" s="1382"/>
      <c r="B12" s="297" t="s">
        <v>1690</v>
      </c>
      <c r="C12" s="232" t="s">
        <v>1691</v>
      </c>
      <c r="D12" s="298"/>
      <c r="E12" s="234" t="s">
        <v>1295</v>
      </c>
      <c r="F12" s="236">
        <v>396</v>
      </c>
      <c r="G12" s="234">
        <v>400</v>
      </c>
      <c r="H12" s="236">
        <f>G12*F12</f>
        <v>158400</v>
      </c>
      <c r="I12" s="234">
        <v>400</v>
      </c>
      <c r="J12" s="236">
        <f>I12*F12</f>
        <v>158400</v>
      </c>
      <c r="K12" s="234">
        <v>400</v>
      </c>
      <c r="L12" s="236">
        <f>K12*F12</f>
        <v>158400</v>
      </c>
    </row>
    <row r="13" spans="1:12" ht="42.75">
      <c r="A13" s="1382"/>
      <c r="B13" s="1145" t="s">
        <v>1072</v>
      </c>
      <c r="C13" s="290" t="s">
        <v>1692</v>
      </c>
      <c r="D13" s="238"/>
      <c r="E13" s="233" t="s">
        <v>1130</v>
      </c>
      <c r="F13" s="235">
        <v>172300</v>
      </c>
      <c r="G13" s="233">
        <v>1</v>
      </c>
      <c r="H13" s="236">
        <f aca="true" t="shared" si="0" ref="H13:H21">G13*F13</f>
        <v>172300</v>
      </c>
      <c r="I13" s="233">
        <v>1</v>
      </c>
      <c r="J13" s="236">
        <f aca="true" t="shared" si="1" ref="J13:J21">I13*F13</f>
        <v>172300</v>
      </c>
      <c r="K13" s="233">
        <v>1</v>
      </c>
      <c r="L13" s="236">
        <f aca="true" t="shared" si="2" ref="L13:L21">K13*F13</f>
        <v>172300</v>
      </c>
    </row>
    <row r="14" spans="1:12" ht="30" customHeight="1">
      <c r="A14" s="1382"/>
      <c r="B14" s="1145" t="s">
        <v>1693</v>
      </c>
      <c r="C14" s="290" t="s">
        <v>1694</v>
      </c>
      <c r="D14" s="238"/>
      <c r="E14" s="234" t="s">
        <v>1061</v>
      </c>
      <c r="F14" s="236">
        <v>856000</v>
      </c>
      <c r="G14" s="234">
        <v>1</v>
      </c>
      <c r="H14" s="236">
        <f t="shared" si="0"/>
        <v>856000</v>
      </c>
      <c r="I14" s="234">
        <v>1</v>
      </c>
      <c r="J14" s="236">
        <f t="shared" si="1"/>
        <v>856000</v>
      </c>
      <c r="K14" s="234">
        <v>1</v>
      </c>
      <c r="L14" s="236">
        <f t="shared" si="2"/>
        <v>856000</v>
      </c>
    </row>
    <row r="15" spans="1:13" ht="33.75" customHeight="1">
      <c r="A15" s="1382"/>
      <c r="B15" s="297" t="s">
        <v>1695</v>
      </c>
      <c r="C15" s="290" t="s">
        <v>1696</v>
      </c>
      <c r="D15" s="298"/>
      <c r="E15" s="234" t="s">
        <v>1295</v>
      </c>
      <c r="F15" s="236">
        <v>3000</v>
      </c>
      <c r="G15" s="234">
        <v>140</v>
      </c>
      <c r="H15" s="236">
        <f t="shared" si="0"/>
        <v>420000</v>
      </c>
      <c r="I15" s="234">
        <v>140</v>
      </c>
      <c r="J15" s="236">
        <f t="shared" si="1"/>
        <v>420000</v>
      </c>
      <c r="K15" s="234">
        <v>140</v>
      </c>
      <c r="L15" s="236">
        <f t="shared" si="2"/>
        <v>420000</v>
      </c>
      <c r="M15" s="163"/>
    </row>
    <row r="16" spans="1:13" ht="42.75">
      <c r="A16" s="1382"/>
      <c r="B16" s="297" t="s">
        <v>1697</v>
      </c>
      <c r="C16" s="290" t="s">
        <v>1698</v>
      </c>
      <c r="D16" s="298"/>
      <c r="E16" s="234" t="s">
        <v>1130</v>
      </c>
      <c r="F16" s="236">
        <v>39600</v>
      </c>
      <c r="G16" s="234">
        <v>2</v>
      </c>
      <c r="H16" s="236">
        <f t="shared" si="0"/>
        <v>79200</v>
      </c>
      <c r="I16" s="234">
        <v>2</v>
      </c>
      <c r="J16" s="236">
        <f t="shared" si="1"/>
        <v>79200</v>
      </c>
      <c r="K16" s="234">
        <v>2</v>
      </c>
      <c r="L16" s="236">
        <f t="shared" si="2"/>
        <v>79200</v>
      </c>
      <c r="M16" s="909"/>
    </row>
    <row r="17" spans="1:13" ht="30" customHeight="1">
      <c r="A17" s="1382"/>
      <c r="B17" s="297" t="s">
        <v>1699</v>
      </c>
      <c r="C17" s="290" t="s">
        <v>981</v>
      </c>
      <c r="D17" s="298"/>
      <c r="E17" s="234" t="s">
        <v>1065</v>
      </c>
      <c r="F17" s="236">
        <v>350</v>
      </c>
      <c r="G17" s="299">
        <v>300</v>
      </c>
      <c r="H17" s="236">
        <f t="shared" si="0"/>
        <v>105000</v>
      </c>
      <c r="I17" s="299">
        <f>+G17</f>
        <v>300</v>
      </c>
      <c r="J17" s="236">
        <f t="shared" si="1"/>
        <v>105000</v>
      </c>
      <c r="K17" s="299">
        <f>+G17</f>
        <v>300</v>
      </c>
      <c r="L17" s="236">
        <f t="shared" si="2"/>
        <v>105000</v>
      </c>
      <c r="M17" s="909"/>
    </row>
    <row r="18" spans="1:12" ht="16.5" customHeight="1">
      <c r="A18" s="1382"/>
      <c r="B18" s="297" t="s">
        <v>1700</v>
      </c>
      <c r="C18" s="290" t="s">
        <v>1701</v>
      </c>
      <c r="D18" s="298"/>
      <c r="E18" s="234" t="s">
        <v>1702</v>
      </c>
      <c r="F18" s="236">
        <v>1300</v>
      </c>
      <c r="G18" s="299">
        <v>180</v>
      </c>
      <c r="H18" s="236">
        <f t="shared" si="0"/>
        <v>234000</v>
      </c>
      <c r="I18" s="234">
        <v>180</v>
      </c>
      <c r="J18" s="236">
        <f t="shared" si="1"/>
        <v>234000</v>
      </c>
      <c r="K18" s="234">
        <v>180</v>
      </c>
      <c r="L18" s="236">
        <f t="shared" si="2"/>
        <v>234000</v>
      </c>
    </row>
    <row r="19" spans="1:12" ht="14.25">
      <c r="A19" s="1382"/>
      <c r="B19" s="297" t="s">
        <v>1703</v>
      </c>
      <c r="C19" s="290" t="s">
        <v>1704</v>
      </c>
      <c r="D19" s="298"/>
      <c r="E19" s="234" t="s">
        <v>1322</v>
      </c>
      <c r="F19" s="236">
        <v>1862</v>
      </c>
      <c r="G19" s="299">
        <v>120</v>
      </c>
      <c r="H19" s="236">
        <f t="shared" si="0"/>
        <v>223440</v>
      </c>
      <c r="I19" s="234">
        <v>120</v>
      </c>
      <c r="J19" s="236">
        <f t="shared" si="1"/>
        <v>223440</v>
      </c>
      <c r="K19" s="234">
        <v>120</v>
      </c>
      <c r="L19" s="236">
        <f t="shared" si="2"/>
        <v>223440</v>
      </c>
    </row>
    <row r="20" spans="1:12" ht="14.25">
      <c r="A20" s="1382"/>
      <c r="B20" s="297" t="s">
        <v>1705</v>
      </c>
      <c r="C20" s="290" t="s">
        <v>1706</v>
      </c>
      <c r="D20" s="298"/>
      <c r="E20" s="234" t="s">
        <v>1130</v>
      </c>
      <c r="F20" s="236">
        <v>43200</v>
      </c>
      <c r="G20" s="299">
        <v>1</v>
      </c>
      <c r="H20" s="236">
        <f t="shared" si="0"/>
        <v>43200</v>
      </c>
      <c r="I20" s="234">
        <v>1</v>
      </c>
      <c r="J20" s="236">
        <f t="shared" si="1"/>
        <v>43200</v>
      </c>
      <c r="K20" s="234">
        <v>1</v>
      </c>
      <c r="L20" s="236">
        <f t="shared" si="2"/>
        <v>43200</v>
      </c>
    </row>
    <row r="21" spans="1:13" ht="15.75" customHeight="1">
      <c r="A21" s="1382"/>
      <c r="B21" s="297" t="s">
        <v>1707</v>
      </c>
      <c r="C21" s="290" t="s">
        <v>1708</v>
      </c>
      <c r="D21" s="298"/>
      <c r="E21" s="234" t="s">
        <v>1295</v>
      </c>
      <c r="F21" s="236">
        <v>1800</v>
      </c>
      <c r="G21" s="299">
        <v>130</v>
      </c>
      <c r="H21" s="236">
        <f t="shared" si="0"/>
        <v>234000</v>
      </c>
      <c r="I21" s="234">
        <v>130</v>
      </c>
      <c r="J21" s="236">
        <f t="shared" si="1"/>
        <v>234000</v>
      </c>
      <c r="K21" s="234">
        <v>130</v>
      </c>
      <c r="L21" s="236">
        <f t="shared" si="2"/>
        <v>234000</v>
      </c>
      <c r="M21" s="910"/>
    </row>
    <row r="22" spans="1:12" ht="15">
      <c r="A22" s="1383"/>
      <c r="B22" s="135"/>
      <c r="C22" s="268" t="s">
        <v>1709</v>
      </c>
      <c r="D22" s="300"/>
      <c r="E22" s="135"/>
      <c r="F22" s="135"/>
      <c r="G22" s="135"/>
      <c r="H22" s="240">
        <f>SUM(H12:H21)</f>
        <v>2525540</v>
      </c>
      <c r="I22" s="240"/>
      <c r="J22" s="240">
        <f>SUM(J12:J21)</f>
        <v>2525540</v>
      </c>
      <c r="K22" s="240"/>
      <c r="L22" s="240">
        <f>SUM(L12:L21)</f>
        <v>2525540</v>
      </c>
    </row>
    <row r="23" spans="1:12" ht="15" customHeight="1">
      <c r="A23" s="1387">
        <v>2</v>
      </c>
      <c r="B23" s="234"/>
      <c r="C23" s="268" t="s">
        <v>1710</v>
      </c>
      <c r="D23" s="1390"/>
      <c r="E23" s="1390"/>
      <c r="F23" s="1390"/>
      <c r="G23" s="1390"/>
      <c r="H23" s="1390"/>
      <c r="I23" s="1390"/>
      <c r="J23" s="1390"/>
      <c r="K23" s="1390"/>
      <c r="L23" s="1390"/>
    </row>
    <row r="24" spans="1:12" ht="14.25" customHeight="1">
      <c r="A24" s="1388"/>
      <c r="B24" s="1366" t="s">
        <v>1690</v>
      </c>
      <c r="C24" s="1146" t="s">
        <v>1711</v>
      </c>
      <c r="D24" s="1147">
        <v>7132220091</v>
      </c>
      <c r="E24" s="926" t="s">
        <v>1061</v>
      </c>
      <c r="F24" s="1023">
        <f>VLOOKUP(D24,'SOR RATE'!A:D,4,0)</f>
        <v>841136</v>
      </c>
      <c r="G24" s="926">
        <v>1</v>
      </c>
      <c r="H24" s="1148">
        <f>F24*G24</f>
        <v>841136</v>
      </c>
      <c r="I24" s="1149" t="s">
        <v>1064</v>
      </c>
      <c r="J24" s="1149" t="s">
        <v>1064</v>
      </c>
      <c r="K24" s="1149" t="s">
        <v>1064</v>
      </c>
      <c r="L24" s="1149" t="s">
        <v>1064</v>
      </c>
    </row>
    <row r="25" spans="1:12" ht="14.25" customHeight="1">
      <c r="A25" s="1388"/>
      <c r="B25" s="1367"/>
      <c r="C25" s="290" t="s">
        <v>1712</v>
      </c>
      <c r="D25" s="1147">
        <v>7132220095</v>
      </c>
      <c r="E25" s="234" t="s">
        <v>1061</v>
      </c>
      <c r="F25" s="1023">
        <f>VLOOKUP(D25,'SOR RATE'!A:D,4,0)</f>
        <v>2112952</v>
      </c>
      <c r="G25" s="1150" t="s">
        <v>1064</v>
      </c>
      <c r="H25" s="1148"/>
      <c r="I25" s="234">
        <v>1</v>
      </c>
      <c r="J25" s="236">
        <f>I25*F25</f>
        <v>2112952</v>
      </c>
      <c r="K25" s="1150" t="s">
        <v>1064</v>
      </c>
      <c r="L25" s="1150" t="s">
        <v>1064</v>
      </c>
    </row>
    <row r="26" spans="1:12" ht="14.25" customHeight="1">
      <c r="A26" s="1388"/>
      <c r="B26" s="1368"/>
      <c r="C26" s="290" t="s">
        <v>1713</v>
      </c>
      <c r="D26" s="1147">
        <v>7132220097</v>
      </c>
      <c r="E26" s="234" t="s">
        <v>1061</v>
      </c>
      <c r="F26" s="1023">
        <f>VLOOKUP(D26,'SOR RATE'!A:D,4,0)</f>
        <v>3010759</v>
      </c>
      <c r="G26" s="1150" t="s">
        <v>1064</v>
      </c>
      <c r="H26" s="1148"/>
      <c r="I26" s="1150" t="s">
        <v>1064</v>
      </c>
      <c r="J26" s="236"/>
      <c r="K26" s="234">
        <v>1</v>
      </c>
      <c r="L26" s="236">
        <f>K26*F26</f>
        <v>3010759</v>
      </c>
    </row>
    <row r="27" spans="1:12" ht="15" customHeight="1">
      <c r="A27" s="1388"/>
      <c r="B27" s="1366" t="s">
        <v>1072</v>
      </c>
      <c r="C27" s="268" t="s">
        <v>1714</v>
      </c>
      <c r="D27" s="1147"/>
      <c r="E27" s="135" t="s">
        <v>1061</v>
      </c>
      <c r="F27" s="1092">
        <f>J28+J29+J30</f>
        <v>317003</v>
      </c>
      <c r="G27" s="1150" t="s">
        <v>1064</v>
      </c>
      <c r="H27" s="1148"/>
      <c r="I27" s="1150">
        <v>1</v>
      </c>
      <c r="J27" s="236"/>
      <c r="K27" s="234"/>
      <c r="L27" s="236"/>
    </row>
    <row r="28" spans="1:12" ht="14.25" customHeight="1">
      <c r="A28" s="1388"/>
      <c r="B28" s="1367"/>
      <c r="C28" s="290" t="s">
        <v>1715</v>
      </c>
      <c r="D28" s="1147">
        <v>7131943380</v>
      </c>
      <c r="E28" s="234" t="s">
        <v>1061</v>
      </c>
      <c r="F28" s="1023">
        <f>VLOOKUP(D28,'SOR RATE'!A:D,4,0)</f>
        <v>226584</v>
      </c>
      <c r="G28" s="1150" t="s">
        <v>1064</v>
      </c>
      <c r="H28" s="1148"/>
      <c r="I28" s="1150">
        <v>1</v>
      </c>
      <c r="J28" s="236">
        <f aca="true" t="shared" si="3" ref="J28:J69">I28*F28</f>
        <v>226584</v>
      </c>
      <c r="K28" s="234">
        <v>1</v>
      </c>
      <c r="L28" s="236">
        <f aca="true" t="shared" si="4" ref="L28:L69">K28*F28</f>
        <v>226584</v>
      </c>
    </row>
    <row r="29" spans="1:13" ht="14.25" customHeight="1">
      <c r="A29" s="1388"/>
      <c r="B29" s="1367"/>
      <c r="C29" s="290" t="s">
        <v>1716</v>
      </c>
      <c r="D29" s="1147">
        <v>7131960524</v>
      </c>
      <c r="E29" s="234" t="s">
        <v>1061</v>
      </c>
      <c r="F29" s="1023">
        <f>VLOOKUP(D29,'SOR RATE'!A:D,4,0)</f>
        <v>39815</v>
      </c>
      <c r="G29" s="1150" t="s">
        <v>1064</v>
      </c>
      <c r="H29" s="1148"/>
      <c r="I29" s="1150">
        <v>1</v>
      </c>
      <c r="J29" s="236">
        <f t="shared" si="3"/>
        <v>39815</v>
      </c>
      <c r="K29" s="234">
        <v>1</v>
      </c>
      <c r="L29" s="236">
        <f t="shared" si="4"/>
        <v>39815</v>
      </c>
      <c r="M29" s="694"/>
    </row>
    <row r="30" spans="1:12" ht="14.25" customHeight="1">
      <c r="A30" s="1388"/>
      <c r="B30" s="1368"/>
      <c r="C30" s="290" t="s">
        <v>1717</v>
      </c>
      <c r="D30" s="234">
        <v>7132230265</v>
      </c>
      <c r="E30" s="234" t="s">
        <v>1061</v>
      </c>
      <c r="F30" s="1023">
        <f>VLOOKUP(D30,'SOR RATE'!A:D,4,0)</f>
        <v>16868</v>
      </c>
      <c r="G30" s="1150" t="s">
        <v>1064</v>
      </c>
      <c r="H30" s="1148"/>
      <c r="I30" s="1150">
        <v>3</v>
      </c>
      <c r="J30" s="236">
        <f t="shared" si="3"/>
        <v>50604</v>
      </c>
      <c r="K30" s="234">
        <v>3</v>
      </c>
      <c r="L30" s="236">
        <f t="shared" si="4"/>
        <v>50604</v>
      </c>
    </row>
    <row r="31" spans="1:13" ht="30">
      <c r="A31" s="1388"/>
      <c r="B31" s="1366" t="s">
        <v>1693</v>
      </c>
      <c r="C31" s="268" t="s">
        <v>1718</v>
      </c>
      <c r="D31" s="1147"/>
      <c r="E31" s="135" t="s">
        <v>1061</v>
      </c>
      <c r="F31" s="240">
        <f>H32+H33+H34</f>
        <v>177261</v>
      </c>
      <c r="G31" s="234">
        <v>1</v>
      </c>
      <c r="H31" s="1148"/>
      <c r="I31" s="234">
        <v>1</v>
      </c>
      <c r="J31" s="236"/>
      <c r="K31" s="234">
        <v>1</v>
      </c>
      <c r="L31" s="236"/>
      <c r="M31" s="145"/>
    </row>
    <row r="32" spans="1:13" ht="14.25" customHeight="1">
      <c r="A32" s="1388"/>
      <c r="B32" s="1367"/>
      <c r="C32" s="290" t="s">
        <v>1719</v>
      </c>
      <c r="D32" s="1147">
        <v>7131941762</v>
      </c>
      <c r="E32" s="234" t="s">
        <v>1061</v>
      </c>
      <c r="F32" s="1023">
        <f>VLOOKUP(D32,'SOR RATE'!A:D,4,0)</f>
        <v>110737</v>
      </c>
      <c r="G32" s="234">
        <v>1</v>
      </c>
      <c r="H32" s="1148">
        <f aca="true" t="shared" si="5" ref="H32:H69">F32*G32</f>
        <v>110737</v>
      </c>
      <c r="I32" s="234">
        <v>1</v>
      </c>
      <c r="J32" s="236">
        <f t="shared" si="3"/>
        <v>110737</v>
      </c>
      <c r="K32" s="234">
        <v>1</v>
      </c>
      <c r="L32" s="236">
        <f t="shared" si="4"/>
        <v>110737</v>
      </c>
      <c r="M32" s="145"/>
    </row>
    <row r="33" spans="1:13" ht="28.5">
      <c r="A33" s="1388"/>
      <c r="B33" s="1367"/>
      <c r="C33" s="290" t="s">
        <v>1720</v>
      </c>
      <c r="D33" s="1147">
        <v>7131960522</v>
      </c>
      <c r="E33" s="234" t="s">
        <v>1130</v>
      </c>
      <c r="F33" s="236">
        <f>VLOOKUP(D33,'SOR RATE'!A:D,4,0)</f>
        <v>39815</v>
      </c>
      <c r="G33" s="234">
        <v>1</v>
      </c>
      <c r="H33" s="1148">
        <f t="shared" si="5"/>
        <v>39815</v>
      </c>
      <c r="I33" s="234">
        <v>1</v>
      </c>
      <c r="J33" s="236">
        <f t="shared" si="3"/>
        <v>39815</v>
      </c>
      <c r="K33" s="234">
        <v>1</v>
      </c>
      <c r="L33" s="236">
        <f t="shared" si="4"/>
        <v>39815</v>
      </c>
      <c r="M33" s="213"/>
    </row>
    <row r="34" spans="1:13" ht="14.25" customHeight="1">
      <c r="A34" s="1388"/>
      <c r="B34" s="1368"/>
      <c r="C34" s="290" t="s">
        <v>1721</v>
      </c>
      <c r="D34" s="1147">
        <v>7132230188</v>
      </c>
      <c r="E34" s="234" t="s">
        <v>1061</v>
      </c>
      <c r="F34" s="1023">
        <f>VLOOKUP(D34,'SOR RATE'!A:D,4,0)</f>
        <v>8903</v>
      </c>
      <c r="G34" s="234">
        <v>3</v>
      </c>
      <c r="H34" s="1148">
        <f t="shared" si="5"/>
        <v>26709</v>
      </c>
      <c r="I34" s="234">
        <v>3</v>
      </c>
      <c r="J34" s="236">
        <f t="shared" si="3"/>
        <v>26709</v>
      </c>
      <c r="K34" s="234">
        <v>3</v>
      </c>
      <c r="L34" s="236">
        <f t="shared" si="4"/>
        <v>26709</v>
      </c>
      <c r="M34" s="145"/>
    </row>
    <row r="35" spans="1:13" ht="30">
      <c r="A35" s="1388"/>
      <c r="B35" s="1366" t="s">
        <v>1695</v>
      </c>
      <c r="C35" s="268" t="s">
        <v>670</v>
      </c>
      <c r="D35" s="1147"/>
      <c r="E35" s="135" t="s">
        <v>1061</v>
      </c>
      <c r="F35" s="240">
        <f>H36+H37</f>
        <v>327554</v>
      </c>
      <c r="G35" s="1150">
        <v>2</v>
      </c>
      <c r="H35" s="1148"/>
      <c r="I35" s="1150">
        <v>2</v>
      </c>
      <c r="J35" s="236"/>
      <c r="K35" s="234">
        <v>3</v>
      </c>
      <c r="L35" s="236"/>
      <c r="M35" s="145"/>
    </row>
    <row r="36" spans="1:13" ht="18.75" customHeight="1">
      <c r="A36" s="1388"/>
      <c r="B36" s="1367"/>
      <c r="C36" s="232" t="s">
        <v>671</v>
      </c>
      <c r="D36" s="1147">
        <v>7131960497</v>
      </c>
      <c r="E36" s="234" t="s">
        <v>1061</v>
      </c>
      <c r="F36" s="236">
        <f>F32+26331</f>
        <v>137068</v>
      </c>
      <c r="G36" s="1150">
        <v>2</v>
      </c>
      <c r="H36" s="1148">
        <f>F36*G36</f>
        <v>274136</v>
      </c>
      <c r="I36" s="1150">
        <v>2</v>
      </c>
      <c r="J36" s="236">
        <f t="shared" si="3"/>
        <v>274136</v>
      </c>
      <c r="K36" s="1150">
        <v>3</v>
      </c>
      <c r="L36" s="236">
        <f t="shared" si="4"/>
        <v>411204</v>
      </c>
      <c r="M36" s="911" t="s">
        <v>672</v>
      </c>
    </row>
    <row r="37" spans="1:13" ht="14.25" customHeight="1">
      <c r="A37" s="1388"/>
      <c r="B37" s="1368"/>
      <c r="C37" s="290" t="s">
        <v>673</v>
      </c>
      <c r="D37" s="1147">
        <v>7132230185</v>
      </c>
      <c r="E37" s="234" t="s">
        <v>1061</v>
      </c>
      <c r="F37" s="1023">
        <f>VLOOKUP(D37,'SOR RATE'!A:D,4,0)</f>
        <v>8903</v>
      </c>
      <c r="G37" s="1150">
        <v>6</v>
      </c>
      <c r="H37" s="1148">
        <f t="shared" si="5"/>
        <v>53418</v>
      </c>
      <c r="I37" s="1150">
        <v>6</v>
      </c>
      <c r="J37" s="236">
        <f t="shared" si="3"/>
        <v>53418</v>
      </c>
      <c r="K37" s="1150">
        <v>9</v>
      </c>
      <c r="L37" s="236">
        <f t="shared" si="4"/>
        <v>80127</v>
      </c>
      <c r="M37" s="145"/>
    </row>
    <row r="38" spans="1:13" ht="30.75" customHeight="1">
      <c r="A38" s="1388"/>
      <c r="B38" s="1151" t="s">
        <v>1697</v>
      </c>
      <c r="C38" s="232" t="s">
        <v>1520</v>
      </c>
      <c r="D38" s="1147">
        <v>7131930752</v>
      </c>
      <c r="E38" s="234" t="s">
        <v>1061</v>
      </c>
      <c r="F38" s="236">
        <f>VLOOKUP(D38,'SOR RATE'!A:D,4,0)</f>
        <v>35789</v>
      </c>
      <c r="G38" s="234">
        <v>2</v>
      </c>
      <c r="H38" s="1148">
        <f>F38*G38</f>
        <v>71578</v>
      </c>
      <c r="I38" s="234">
        <v>2</v>
      </c>
      <c r="J38" s="236">
        <f>I38*F38</f>
        <v>71578</v>
      </c>
      <c r="K38" s="234">
        <v>2</v>
      </c>
      <c r="L38" s="236">
        <f>K38*F38</f>
        <v>71578</v>
      </c>
      <c r="M38" s="912" t="s">
        <v>1521</v>
      </c>
    </row>
    <row r="39" spans="1:13" ht="28.5">
      <c r="A39" s="1388"/>
      <c r="B39" s="1145" t="s">
        <v>1699</v>
      </c>
      <c r="C39" s="290" t="s">
        <v>1522</v>
      </c>
      <c r="D39" s="1147">
        <v>7131930663</v>
      </c>
      <c r="E39" s="233" t="s">
        <v>1061</v>
      </c>
      <c r="F39" s="236">
        <f>VLOOKUP(D39,'SOR RATE'!A:D,4,0)</f>
        <v>20680</v>
      </c>
      <c r="G39" s="233">
        <v>6</v>
      </c>
      <c r="H39" s="1148">
        <f t="shared" si="5"/>
        <v>124080</v>
      </c>
      <c r="I39" s="233">
        <v>6</v>
      </c>
      <c r="J39" s="236">
        <f t="shared" si="3"/>
        <v>124080</v>
      </c>
      <c r="K39" s="233">
        <v>8</v>
      </c>
      <c r="L39" s="236">
        <f t="shared" si="4"/>
        <v>165440</v>
      </c>
      <c r="M39" s="145"/>
    </row>
    <row r="40" spans="1:12" ht="14.25" customHeight="1">
      <c r="A40" s="1388"/>
      <c r="B40" s="1145" t="s">
        <v>1700</v>
      </c>
      <c r="C40" s="232" t="s">
        <v>1523</v>
      </c>
      <c r="D40" s="1147">
        <v>7131930415</v>
      </c>
      <c r="E40" s="234" t="s">
        <v>1130</v>
      </c>
      <c r="F40" s="1023">
        <f>VLOOKUP(D40,'SOR RATE'!A:D,4,0)</f>
        <v>2918</v>
      </c>
      <c r="G40" s="234">
        <v>3</v>
      </c>
      <c r="H40" s="1148">
        <f t="shared" si="5"/>
        <v>8754</v>
      </c>
      <c r="I40" s="1150" t="s">
        <v>1064</v>
      </c>
      <c r="J40" s="1150" t="s">
        <v>1064</v>
      </c>
      <c r="K40" s="1150" t="s">
        <v>1064</v>
      </c>
      <c r="L40" s="1150" t="s">
        <v>1064</v>
      </c>
    </row>
    <row r="41" spans="1:12" ht="14.25" customHeight="1">
      <c r="A41" s="1388"/>
      <c r="B41" s="297" t="s">
        <v>1703</v>
      </c>
      <c r="C41" s="232" t="s">
        <v>1524</v>
      </c>
      <c r="D41" s="1147">
        <v>7131930412</v>
      </c>
      <c r="E41" s="234" t="s">
        <v>1130</v>
      </c>
      <c r="F41" s="1023">
        <f>VLOOKUP(D41,'SOR RATE'!A:D,4,0)</f>
        <v>1199</v>
      </c>
      <c r="G41" s="1150">
        <v>3</v>
      </c>
      <c r="H41" s="1148">
        <f t="shared" si="5"/>
        <v>3597</v>
      </c>
      <c r="I41" s="1150">
        <v>3</v>
      </c>
      <c r="J41" s="236">
        <f t="shared" si="3"/>
        <v>3597</v>
      </c>
      <c r="K41" s="1150">
        <v>3</v>
      </c>
      <c r="L41" s="236">
        <f t="shared" si="4"/>
        <v>3597</v>
      </c>
    </row>
    <row r="42" spans="1:13" ht="14.25" customHeight="1">
      <c r="A42" s="1388"/>
      <c r="B42" s="297" t="s">
        <v>1705</v>
      </c>
      <c r="C42" s="290" t="s">
        <v>962</v>
      </c>
      <c r="D42" s="1147">
        <v>7130840021</v>
      </c>
      <c r="E42" s="234" t="s">
        <v>1130</v>
      </c>
      <c r="F42" s="1023">
        <f>VLOOKUP(D42,'SOR RATE'!A:D,4,0)</f>
        <v>3483</v>
      </c>
      <c r="G42" s="234">
        <v>3</v>
      </c>
      <c r="H42" s="1148">
        <f t="shared" si="5"/>
        <v>10449</v>
      </c>
      <c r="I42" s="234">
        <v>3</v>
      </c>
      <c r="J42" s="236">
        <f t="shared" si="3"/>
        <v>10449</v>
      </c>
      <c r="K42" s="234">
        <v>3</v>
      </c>
      <c r="L42" s="236">
        <f t="shared" si="4"/>
        <v>10449</v>
      </c>
      <c r="M42" s="913" t="s">
        <v>1842</v>
      </c>
    </row>
    <row r="43" spans="1:13" ht="14.25" customHeight="1">
      <c r="A43" s="1388"/>
      <c r="B43" s="297" t="s">
        <v>1707</v>
      </c>
      <c r="C43" s="290" t="s">
        <v>1843</v>
      </c>
      <c r="D43" s="1147">
        <v>7130840029</v>
      </c>
      <c r="E43" s="234" t="s">
        <v>1130</v>
      </c>
      <c r="F43" s="1023">
        <f>VLOOKUP(D43,'SOR RATE'!A:D,4,0)</f>
        <v>425</v>
      </c>
      <c r="G43" s="234">
        <v>12</v>
      </c>
      <c r="H43" s="1148">
        <f t="shared" si="5"/>
        <v>5100</v>
      </c>
      <c r="I43" s="234">
        <v>12</v>
      </c>
      <c r="J43" s="236">
        <f t="shared" si="3"/>
        <v>5100</v>
      </c>
      <c r="K43" s="234">
        <v>15</v>
      </c>
      <c r="L43" s="236">
        <f t="shared" si="4"/>
        <v>6375</v>
      </c>
      <c r="M43" s="913" t="s">
        <v>1842</v>
      </c>
    </row>
    <row r="44" spans="1:12" ht="15" customHeight="1">
      <c r="A44" s="1388"/>
      <c r="B44" s="297" t="s">
        <v>1525</v>
      </c>
      <c r="C44" s="232" t="s">
        <v>1129</v>
      </c>
      <c r="D44" s="1147">
        <v>7131930321</v>
      </c>
      <c r="E44" s="234" t="s">
        <v>1130</v>
      </c>
      <c r="F44" s="1023">
        <f>VLOOKUP(D44,'SOR RATE'!A:D,4,0)</f>
        <v>18624</v>
      </c>
      <c r="G44" s="234">
        <v>1</v>
      </c>
      <c r="H44" s="1148">
        <f t="shared" si="5"/>
        <v>18624</v>
      </c>
      <c r="I44" s="234">
        <v>1</v>
      </c>
      <c r="J44" s="236">
        <f t="shared" si="3"/>
        <v>18624</v>
      </c>
      <c r="K44" s="234">
        <v>1</v>
      </c>
      <c r="L44" s="236">
        <f t="shared" si="4"/>
        <v>18624</v>
      </c>
    </row>
    <row r="45" spans="1:12" ht="15.75" customHeight="1">
      <c r="A45" s="1388"/>
      <c r="B45" s="297" t="s">
        <v>1526</v>
      </c>
      <c r="C45" s="232" t="s">
        <v>1527</v>
      </c>
      <c r="D45" s="1147">
        <v>7131930221</v>
      </c>
      <c r="E45" s="234" t="s">
        <v>1130</v>
      </c>
      <c r="F45" s="1023">
        <f>VLOOKUP(D45,'SOR RATE'!A:D,4,0)</f>
        <v>7750</v>
      </c>
      <c r="G45" s="234">
        <v>3</v>
      </c>
      <c r="H45" s="1148">
        <f t="shared" si="5"/>
        <v>23250</v>
      </c>
      <c r="I45" s="234">
        <v>3</v>
      </c>
      <c r="J45" s="236">
        <f t="shared" si="3"/>
        <v>23250</v>
      </c>
      <c r="K45" s="234">
        <v>4</v>
      </c>
      <c r="L45" s="236">
        <f t="shared" si="4"/>
        <v>31000</v>
      </c>
    </row>
    <row r="46" spans="1:13" ht="14.25" customHeight="1">
      <c r="A46" s="1388"/>
      <c r="B46" s="297" t="s">
        <v>1528</v>
      </c>
      <c r="C46" s="232" t="s">
        <v>1529</v>
      </c>
      <c r="D46" s="1147">
        <v>7132230057</v>
      </c>
      <c r="E46" s="234" t="s">
        <v>1130</v>
      </c>
      <c r="F46" s="1023">
        <f>VLOOKUP(D46,'SOR RATE'!A:D,4,0)</f>
        <v>16371</v>
      </c>
      <c r="G46" s="234">
        <v>3</v>
      </c>
      <c r="H46" s="1148">
        <f t="shared" si="5"/>
        <v>49113</v>
      </c>
      <c r="I46" s="234">
        <v>3</v>
      </c>
      <c r="J46" s="236">
        <f t="shared" si="3"/>
        <v>49113</v>
      </c>
      <c r="K46" s="234">
        <v>3</v>
      </c>
      <c r="L46" s="236">
        <f t="shared" si="4"/>
        <v>49113</v>
      </c>
      <c r="M46" s="913" t="s">
        <v>308</v>
      </c>
    </row>
    <row r="47" spans="1:12" ht="14.25" customHeight="1">
      <c r="A47" s="1388"/>
      <c r="B47" s="297" t="s">
        <v>1530</v>
      </c>
      <c r="C47" s="232" t="s">
        <v>1531</v>
      </c>
      <c r="D47" s="1147">
        <v>7132230427</v>
      </c>
      <c r="E47" s="234" t="s">
        <v>1130</v>
      </c>
      <c r="F47" s="1023">
        <f>VLOOKUP(D47,'SOR RATE'!A:D,4,0)</f>
        <v>64587</v>
      </c>
      <c r="G47" s="234">
        <v>1</v>
      </c>
      <c r="H47" s="1148">
        <f t="shared" si="5"/>
        <v>64587</v>
      </c>
      <c r="I47" s="234">
        <v>1</v>
      </c>
      <c r="J47" s="236">
        <f t="shared" si="3"/>
        <v>64587</v>
      </c>
      <c r="K47" s="234">
        <v>1</v>
      </c>
      <c r="L47" s="236">
        <f t="shared" si="4"/>
        <v>64587</v>
      </c>
    </row>
    <row r="48" spans="1:12" ht="14.25" customHeight="1">
      <c r="A48" s="1388"/>
      <c r="B48" s="297" t="s">
        <v>1532</v>
      </c>
      <c r="C48" s="232" t="s">
        <v>1533</v>
      </c>
      <c r="D48" s="1147">
        <v>7132230412</v>
      </c>
      <c r="E48" s="234" t="s">
        <v>1130</v>
      </c>
      <c r="F48" s="1023">
        <f>VLOOKUP(D48,'SOR RATE'!A:D,4,0)</f>
        <v>29949</v>
      </c>
      <c r="G48" s="234">
        <v>2</v>
      </c>
      <c r="H48" s="1148">
        <f t="shared" si="5"/>
        <v>59898</v>
      </c>
      <c r="I48" s="234">
        <v>2</v>
      </c>
      <c r="J48" s="236">
        <f t="shared" si="3"/>
        <v>59898</v>
      </c>
      <c r="K48" s="234">
        <v>3</v>
      </c>
      <c r="L48" s="236">
        <f t="shared" si="4"/>
        <v>89847</v>
      </c>
    </row>
    <row r="49" spans="1:13" ht="18" customHeight="1">
      <c r="A49" s="1388"/>
      <c r="B49" s="297" t="s">
        <v>1534</v>
      </c>
      <c r="C49" s="232" t="s">
        <v>1535</v>
      </c>
      <c r="D49" s="1147">
        <v>7132230056</v>
      </c>
      <c r="E49" s="234" t="s">
        <v>1130</v>
      </c>
      <c r="F49" s="236">
        <f>VLOOKUP(D49,'SOR RATE'!A:D,4,0)</f>
        <v>8903</v>
      </c>
      <c r="G49" s="234">
        <v>6</v>
      </c>
      <c r="H49" s="1148">
        <f t="shared" si="5"/>
        <v>53418</v>
      </c>
      <c r="I49" s="234">
        <v>6</v>
      </c>
      <c r="J49" s="236">
        <f t="shared" si="3"/>
        <v>53418</v>
      </c>
      <c r="K49" s="234">
        <v>9</v>
      </c>
      <c r="L49" s="236">
        <f t="shared" si="4"/>
        <v>80127</v>
      </c>
      <c r="M49" s="913" t="s">
        <v>307</v>
      </c>
    </row>
    <row r="50" spans="1:12" ht="30">
      <c r="A50" s="1388"/>
      <c r="B50" s="1393" t="s">
        <v>1536</v>
      </c>
      <c r="C50" s="268" t="s">
        <v>1537</v>
      </c>
      <c r="D50" s="1147"/>
      <c r="E50" s="135" t="s">
        <v>1061</v>
      </c>
      <c r="F50" s="240">
        <f>H51+H52</f>
        <v>3492</v>
      </c>
      <c r="G50" s="1150">
        <v>1</v>
      </c>
      <c r="H50" s="1148"/>
      <c r="I50" s="1150">
        <v>1</v>
      </c>
      <c r="J50" s="236"/>
      <c r="K50" s="234">
        <v>1</v>
      </c>
      <c r="L50" s="236"/>
    </row>
    <row r="51" spans="1:13" ht="14.25" customHeight="1">
      <c r="A51" s="1388"/>
      <c r="B51" s="1394"/>
      <c r="C51" s="290" t="s">
        <v>1538</v>
      </c>
      <c r="D51" s="1147">
        <v>7131310997</v>
      </c>
      <c r="E51" s="241" t="s">
        <v>1061</v>
      </c>
      <c r="F51" s="1023">
        <f>VLOOKUP(D51,'SOR RATE'!A:D,4,0)</f>
        <v>2487</v>
      </c>
      <c r="G51" s="1152">
        <v>1</v>
      </c>
      <c r="H51" s="1148">
        <f>F51*G51</f>
        <v>2487</v>
      </c>
      <c r="I51" s="1152">
        <v>1</v>
      </c>
      <c r="J51" s="236">
        <f t="shared" si="3"/>
        <v>2487</v>
      </c>
      <c r="K51" s="241">
        <v>1</v>
      </c>
      <c r="L51" s="236">
        <f t="shared" si="4"/>
        <v>2487</v>
      </c>
      <c r="M51" s="206"/>
    </row>
    <row r="52" spans="1:12" ht="14.25" customHeight="1">
      <c r="A52" s="1388"/>
      <c r="B52" s="1395"/>
      <c r="C52" s="290" t="s">
        <v>1539</v>
      </c>
      <c r="D52" s="1147">
        <v>7132230016</v>
      </c>
      <c r="E52" s="241" t="s">
        <v>1061</v>
      </c>
      <c r="F52" s="1023">
        <f>VLOOKUP(D52,'SOR RATE'!A:D,4,0)</f>
        <v>335</v>
      </c>
      <c r="G52" s="1152">
        <v>3</v>
      </c>
      <c r="H52" s="1148">
        <f t="shared" si="5"/>
        <v>1005</v>
      </c>
      <c r="I52" s="1152">
        <v>3</v>
      </c>
      <c r="J52" s="236">
        <f t="shared" si="3"/>
        <v>1005</v>
      </c>
      <c r="K52" s="241">
        <v>3</v>
      </c>
      <c r="L52" s="236">
        <f t="shared" si="4"/>
        <v>1005</v>
      </c>
    </row>
    <row r="53" spans="1:12" ht="15" customHeight="1">
      <c r="A53" s="1388"/>
      <c r="B53" s="1393" t="s">
        <v>1540</v>
      </c>
      <c r="C53" s="1153" t="s">
        <v>1541</v>
      </c>
      <c r="D53" s="1147"/>
      <c r="E53" s="241" t="s">
        <v>1061</v>
      </c>
      <c r="F53" s="1092">
        <f>+H54</f>
        <v>15880</v>
      </c>
      <c r="G53" s="1152">
        <v>3</v>
      </c>
      <c r="H53" s="1148"/>
      <c r="I53" s="1152">
        <v>3</v>
      </c>
      <c r="J53" s="236"/>
      <c r="K53" s="241">
        <v>4</v>
      </c>
      <c r="L53" s="236"/>
    </row>
    <row r="54" spans="1:12" ht="28.5">
      <c r="A54" s="1388"/>
      <c r="B54" s="1395"/>
      <c r="C54" s="290" t="s">
        <v>1542</v>
      </c>
      <c r="D54" s="1147">
        <v>7131310033</v>
      </c>
      <c r="E54" s="1148" t="s">
        <v>1061</v>
      </c>
      <c r="F54" s="236">
        <f>VLOOKUP(D54,'SOR RATE'!A:D,4,0)</f>
        <v>3970</v>
      </c>
      <c r="G54" s="1154">
        <v>4</v>
      </c>
      <c r="H54" s="1148">
        <f t="shared" si="5"/>
        <v>15880</v>
      </c>
      <c r="I54" s="234">
        <v>4</v>
      </c>
      <c r="J54" s="236">
        <f t="shared" si="3"/>
        <v>15880</v>
      </c>
      <c r="K54" s="234">
        <v>4</v>
      </c>
      <c r="L54" s="236">
        <f t="shared" si="4"/>
        <v>15880</v>
      </c>
    </row>
    <row r="55" spans="1:12" ht="30">
      <c r="A55" s="1388"/>
      <c r="B55" s="297" t="s">
        <v>1543</v>
      </c>
      <c r="C55" s="268" t="s">
        <v>1544</v>
      </c>
      <c r="D55" s="1147"/>
      <c r="E55" s="234" t="s">
        <v>1061</v>
      </c>
      <c r="F55" s="240">
        <f>H56+H57</f>
        <v>58477</v>
      </c>
      <c r="G55" s="234">
        <v>1</v>
      </c>
      <c r="H55" s="1148"/>
      <c r="I55" s="234">
        <v>1</v>
      </c>
      <c r="J55" s="236"/>
      <c r="K55" s="234">
        <v>1</v>
      </c>
      <c r="L55" s="236"/>
    </row>
    <row r="56" spans="1:12" ht="14.25" customHeight="1">
      <c r="A56" s="1388"/>
      <c r="B56" s="303"/>
      <c r="C56" s="290" t="s">
        <v>1545</v>
      </c>
      <c r="D56" s="1147">
        <v>7132404366</v>
      </c>
      <c r="E56" s="241" t="s">
        <v>1061</v>
      </c>
      <c r="F56" s="1023">
        <f>VLOOKUP(D56,'SOR RATE'!A:D,4,0)</f>
        <v>49161</v>
      </c>
      <c r="G56" s="241">
        <v>1</v>
      </c>
      <c r="H56" s="1148">
        <f t="shared" si="5"/>
        <v>49161</v>
      </c>
      <c r="I56" s="241">
        <v>1</v>
      </c>
      <c r="J56" s="236">
        <f>I56*F56</f>
        <v>49161</v>
      </c>
      <c r="K56" s="241">
        <v>1</v>
      </c>
      <c r="L56" s="236">
        <f t="shared" si="4"/>
        <v>49161</v>
      </c>
    </row>
    <row r="57" spans="1:12" ht="14.25" customHeight="1">
      <c r="A57" s="1388"/>
      <c r="B57" s="303">
        <v>1</v>
      </c>
      <c r="C57" s="290" t="s">
        <v>1546</v>
      </c>
      <c r="D57" s="1147">
        <v>7132468558</v>
      </c>
      <c r="E57" s="241" t="s">
        <v>1061</v>
      </c>
      <c r="F57" s="1023">
        <f>VLOOKUP(D57,'SOR RATE'!A:D,4,0)</f>
        <v>9316</v>
      </c>
      <c r="G57" s="241">
        <v>1</v>
      </c>
      <c r="H57" s="1148">
        <f t="shared" si="5"/>
        <v>9316</v>
      </c>
      <c r="I57" s="241">
        <v>1</v>
      </c>
      <c r="J57" s="236">
        <f t="shared" si="3"/>
        <v>9316</v>
      </c>
      <c r="K57" s="241">
        <v>1</v>
      </c>
      <c r="L57" s="236">
        <f t="shared" si="4"/>
        <v>9316</v>
      </c>
    </row>
    <row r="58" spans="1:16" ht="14.25" customHeight="1">
      <c r="A58" s="1388"/>
      <c r="B58" s="297" t="s">
        <v>1547</v>
      </c>
      <c r="C58" s="232" t="s">
        <v>1548</v>
      </c>
      <c r="D58" s="1147">
        <v>7132210215</v>
      </c>
      <c r="E58" s="234" t="s">
        <v>1130</v>
      </c>
      <c r="F58" s="1023">
        <f>VLOOKUP(D58,'SOR RATE'!A:D,4,0)</f>
        <v>146905</v>
      </c>
      <c r="G58" s="1150">
        <v>2</v>
      </c>
      <c r="H58" s="1148">
        <f t="shared" si="5"/>
        <v>293810</v>
      </c>
      <c r="I58" s="1150">
        <v>2</v>
      </c>
      <c r="J58" s="236">
        <f t="shared" si="3"/>
        <v>293810</v>
      </c>
      <c r="K58" s="234">
        <v>2</v>
      </c>
      <c r="L58" s="1224">
        <f t="shared" si="4"/>
        <v>293810</v>
      </c>
      <c r="M58" s="145"/>
      <c r="N58" s="151"/>
      <c r="O58" s="151"/>
      <c r="P58" s="151"/>
    </row>
    <row r="59" spans="1:12" ht="14.25" customHeight="1">
      <c r="A59" s="1388"/>
      <c r="B59" s="297" t="s">
        <v>1549</v>
      </c>
      <c r="C59" s="232" t="s">
        <v>1550</v>
      </c>
      <c r="D59" s="1147">
        <v>7131950065</v>
      </c>
      <c r="E59" s="234" t="s">
        <v>1130</v>
      </c>
      <c r="F59" s="1023">
        <f>VLOOKUP(D59,'SOR RATE'!A:D,4,0)</f>
        <v>13758</v>
      </c>
      <c r="G59" s="1150">
        <v>1</v>
      </c>
      <c r="H59" s="1148">
        <f t="shared" si="5"/>
        <v>13758</v>
      </c>
      <c r="I59" s="1150">
        <v>1</v>
      </c>
      <c r="J59" s="236">
        <f t="shared" si="3"/>
        <v>13758</v>
      </c>
      <c r="K59" s="234">
        <v>1</v>
      </c>
      <c r="L59" s="236">
        <f t="shared" si="4"/>
        <v>13758</v>
      </c>
    </row>
    <row r="60" spans="1:14" ht="42.75">
      <c r="A60" s="1388"/>
      <c r="B60" s="269" t="s">
        <v>1551</v>
      </c>
      <c r="C60" s="290" t="s">
        <v>1552</v>
      </c>
      <c r="D60" s="238">
        <v>7130601958</v>
      </c>
      <c r="E60" s="233" t="s">
        <v>1070</v>
      </c>
      <c r="F60" s="236">
        <f>VLOOKUP(D60,'SOR RATE'!A:D,4,0)/1000</f>
        <v>44.989</v>
      </c>
      <c r="G60" s="234">
        <f>37.1*11*6</f>
        <v>2448.6000000000004</v>
      </c>
      <c r="H60" s="236">
        <f>F60*G60</f>
        <v>110160.0654</v>
      </c>
      <c r="I60" s="234">
        <f>+G60</f>
        <v>2448.6000000000004</v>
      </c>
      <c r="J60" s="236">
        <f t="shared" si="3"/>
        <v>110160.0654</v>
      </c>
      <c r="K60" s="234">
        <f>+G60</f>
        <v>2448.6000000000004</v>
      </c>
      <c r="L60" s="236">
        <f t="shared" si="4"/>
        <v>110160.0654</v>
      </c>
      <c r="M60" s="302" t="s">
        <v>1553</v>
      </c>
      <c r="N60" s="304">
        <v>7130800068</v>
      </c>
    </row>
    <row r="61" spans="1:12" ht="15" customHeight="1">
      <c r="A61" s="1388"/>
      <c r="B61" s="269" t="s">
        <v>1554</v>
      </c>
      <c r="C61" s="268" t="s">
        <v>1555</v>
      </c>
      <c r="D61" s="1155"/>
      <c r="E61" s="1156"/>
      <c r="F61" s="1156"/>
      <c r="G61" s="1156"/>
      <c r="H61" s="1156"/>
      <c r="I61" s="1156"/>
      <c r="J61" s="1156"/>
      <c r="K61" s="1156"/>
      <c r="L61" s="1157"/>
    </row>
    <row r="62" spans="1:12" ht="14.25" customHeight="1">
      <c r="A62" s="1388"/>
      <c r="B62" s="269" t="s">
        <v>1556</v>
      </c>
      <c r="C62" s="290" t="s">
        <v>1557</v>
      </c>
      <c r="D62" s="1147">
        <v>7130310658</v>
      </c>
      <c r="E62" s="1077" t="s">
        <v>1025</v>
      </c>
      <c r="F62" s="1023">
        <f>VLOOKUP(D62,'SOR RATE'!A:D,4,0)/1000</f>
        <v>125.719</v>
      </c>
      <c r="G62" s="1077">
        <v>180</v>
      </c>
      <c r="H62" s="1148">
        <f t="shared" si="5"/>
        <v>22629.42</v>
      </c>
      <c r="I62" s="1077">
        <v>240</v>
      </c>
      <c r="J62" s="236">
        <f t="shared" si="3"/>
        <v>30172.559999999998</v>
      </c>
      <c r="K62" s="1077">
        <v>300</v>
      </c>
      <c r="L62" s="236">
        <f t="shared" si="4"/>
        <v>37715.7</v>
      </c>
    </row>
    <row r="63" spans="1:13" ht="14.25" customHeight="1">
      <c r="A63" s="1388"/>
      <c r="B63" s="269" t="s">
        <v>1558</v>
      </c>
      <c r="C63" s="290" t="s">
        <v>1559</v>
      </c>
      <c r="D63" s="1147">
        <v>7130310654</v>
      </c>
      <c r="E63" s="1077" t="s">
        <v>1025</v>
      </c>
      <c r="F63" s="1023">
        <f>VLOOKUP(D63,'SOR RATE'!A:D,4,0)/1000</f>
        <v>67.671</v>
      </c>
      <c r="G63" s="1077">
        <f>540+240</f>
        <v>780</v>
      </c>
      <c r="H63" s="1148">
        <f t="shared" si="5"/>
        <v>52783.380000000005</v>
      </c>
      <c r="I63" s="1077">
        <f>660+240</f>
        <v>900</v>
      </c>
      <c r="J63" s="236">
        <f t="shared" si="3"/>
        <v>60903.90000000001</v>
      </c>
      <c r="K63" s="1077">
        <f>600+180+240</f>
        <v>1020</v>
      </c>
      <c r="L63" s="236">
        <f t="shared" si="4"/>
        <v>69024.42000000001</v>
      </c>
      <c r="M63" s="153"/>
    </row>
    <row r="64" spans="1:12" ht="14.25" customHeight="1">
      <c r="A64" s="1388"/>
      <c r="B64" s="269" t="s">
        <v>1560</v>
      </c>
      <c r="C64" s="290" t="s">
        <v>1561</v>
      </c>
      <c r="D64" s="1147">
        <v>7130310652</v>
      </c>
      <c r="E64" s="1077" t="s">
        <v>1025</v>
      </c>
      <c r="F64" s="1023">
        <f>VLOOKUP(D64,'SOR RATE'!A:D,4,0)/1000</f>
        <v>39.708</v>
      </c>
      <c r="G64" s="1077">
        <v>180</v>
      </c>
      <c r="H64" s="1148">
        <f t="shared" si="5"/>
        <v>7147.44</v>
      </c>
      <c r="I64" s="1077">
        <v>240</v>
      </c>
      <c r="J64" s="236">
        <f t="shared" si="3"/>
        <v>9529.92</v>
      </c>
      <c r="K64" s="1077">
        <v>300</v>
      </c>
      <c r="L64" s="236">
        <f t="shared" si="4"/>
        <v>11912.4</v>
      </c>
    </row>
    <row r="65" spans="1:13" ht="14.25" customHeight="1">
      <c r="A65" s="1388"/>
      <c r="B65" s="303" t="s">
        <v>1562</v>
      </c>
      <c r="C65" s="290" t="s">
        <v>1563</v>
      </c>
      <c r="D65" s="1147">
        <v>7130830585</v>
      </c>
      <c r="E65" s="241" t="s">
        <v>1061</v>
      </c>
      <c r="F65" s="1023">
        <f>VLOOKUP(D65,'SOR RATE'!A:D,4,0)</f>
        <v>239</v>
      </c>
      <c r="G65" s="234">
        <f>18+81</f>
        <v>99</v>
      </c>
      <c r="H65" s="1148">
        <f t="shared" si="5"/>
        <v>23661</v>
      </c>
      <c r="I65" s="234">
        <f>+G65</f>
        <v>99</v>
      </c>
      <c r="J65" s="236">
        <f t="shared" si="3"/>
        <v>23661</v>
      </c>
      <c r="K65" s="234">
        <f>24+81</f>
        <v>105</v>
      </c>
      <c r="L65" s="236">
        <f t="shared" si="4"/>
        <v>25095</v>
      </c>
      <c r="M65" s="153"/>
    </row>
    <row r="66" spans="1:13" ht="14.25" customHeight="1">
      <c r="A66" s="1388"/>
      <c r="B66" s="303" t="s">
        <v>1564</v>
      </c>
      <c r="C66" s="290" t="s">
        <v>1565</v>
      </c>
      <c r="D66" s="266">
        <v>7130830052</v>
      </c>
      <c r="E66" s="241" t="s">
        <v>1061</v>
      </c>
      <c r="F66" s="1023">
        <f>VLOOKUP(D66,'SOR RATE'!A:D,4,0)</f>
        <v>534</v>
      </c>
      <c r="G66" s="241">
        <v>7</v>
      </c>
      <c r="H66" s="1148">
        <f t="shared" si="5"/>
        <v>3738</v>
      </c>
      <c r="I66" s="241">
        <v>7</v>
      </c>
      <c r="J66" s="236">
        <f t="shared" si="3"/>
        <v>3738</v>
      </c>
      <c r="K66" s="241">
        <v>7</v>
      </c>
      <c r="L66" s="236">
        <f t="shared" si="4"/>
        <v>3738</v>
      </c>
      <c r="M66" s="153"/>
    </row>
    <row r="67" spans="1:13" ht="28.5">
      <c r="A67" s="1388"/>
      <c r="B67" s="269" t="s">
        <v>1566</v>
      </c>
      <c r="C67" s="290" t="s">
        <v>1567</v>
      </c>
      <c r="D67" s="1147">
        <v>7130880041</v>
      </c>
      <c r="E67" s="234" t="s">
        <v>1061</v>
      </c>
      <c r="F67" s="236">
        <f>VLOOKUP(D67,'SOR RATE'!A:D,4,0)</f>
        <v>74</v>
      </c>
      <c r="G67" s="234">
        <v>10</v>
      </c>
      <c r="H67" s="1148">
        <f t="shared" si="5"/>
        <v>740</v>
      </c>
      <c r="I67" s="234">
        <v>10</v>
      </c>
      <c r="J67" s="236">
        <f t="shared" si="3"/>
        <v>740</v>
      </c>
      <c r="K67" s="234">
        <v>10</v>
      </c>
      <c r="L67" s="236">
        <f t="shared" si="4"/>
        <v>740</v>
      </c>
      <c r="M67" s="153"/>
    </row>
    <row r="68" spans="1:13" ht="28.5">
      <c r="A68" s="1388"/>
      <c r="B68" s="269" t="s">
        <v>1568</v>
      </c>
      <c r="C68" s="237" t="s">
        <v>1569</v>
      </c>
      <c r="D68" s="238">
        <v>7130601072</v>
      </c>
      <c r="E68" s="1026" t="s">
        <v>1070</v>
      </c>
      <c r="F68" s="236">
        <f>VLOOKUP(D68,'SOR RATE'!A:D,4,0)/1000</f>
        <v>47.741</v>
      </c>
      <c r="G68" s="234">
        <v>300</v>
      </c>
      <c r="H68" s="1148">
        <f t="shared" si="5"/>
        <v>14322.3</v>
      </c>
      <c r="I68" s="234">
        <f>+G68</f>
        <v>300</v>
      </c>
      <c r="J68" s="236">
        <f t="shared" si="3"/>
        <v>14322.3</v>
      </c>
      <c r="K68" s="234">
        <f>+G68</f>
        <v>300</v>
      </c>
      <c r="L68" s="236">
        <f t="shared" si="4"/>
        <v>14322.3</v>
      </c>
      <c r="M68" s="237"/>
    </row>
    <row r="69" spans="1:13" ht="15.75" customHeight="1">
      <c r="A69" s="1389"/>
      <c r="B69" s="269" t="s">
        <v>1570</v>
      </c>
      <c r="C69" s="232" t="s">
        <v>1571</v>
      </c>
      <c r="D69" s="238">
        <v>7130352046</v>
      </c>
      <c r="E69" s="1026" t="s">
        <v>1023</v>
      </c>
      <c r="F69" s="1023">
        <f>VLOOKUP(D69,'SOR RATE'!A:D,4,0)</f>
        <v>3096</v>
      </c>
      <c r="G69" s="234">
        <v>6</v>
      </c>
      <c r="H69" s="1148">
        <f t="shared" si="5"/>
        <v>18576</v>
      </c>
      <c r="I69" s="234">
        <v>6</v>
      </c>
      <c r="J69" s="236">
        <f t="shared" si="3"/>
        <v>18576</v>
      </c>
      <c r="K69" s="234">
        <v>7</v>
      </c>
      <c r="L69" s="236">
        <f t="shared" si="4"/>
        <v>21672</v>
      </c>
      <c r="M69" s="144"/>
    </row>
    <row r="70" spans="1:12" ht="15.75">
      <c r="A70" s="242"/>
      <c r="B70" s="305"/>
      <c r="C70" s="268" t="s">
        <v>1572</v>
      </c>
      <c r="D70" s="306"/>
      <c r="E70" s="83"/>
      <c r="F70" s="1023"/>
      <c r="G70" s="83"/>
      <c r="H70" s="1092">
        <f>SUM(H24:H69)</f>
        <v>2477573.6054</v>
      </c>
      <c r="I70" s="1092"/>
      <c r="J70" s="1092">
        <f>SUM(J24:J69)</f>
        <v>4075684.7454</v>
      </c>
      <c r="K70" s="1092"/>
      <c r="L70" s="1092">
        <f>SUM(L24:L69)</f>
        <v>5266887.8854</v>
      </c>
    </row>
    <row r="71" spans="1:12" ht="15">
      <c r="A71" s="1381">
        <v>3</v>
      </c>
      <c r="B71" s="305"/>
      <c r="C71" s="307" t="s">
        <v>1573</v>
      </c>
      <c r="D71" s="308"/>
      <c r="E71" s="307"/>
      <c r="F71" s="309"/>
      <c r="G71" s="309"/>
      <c r="H71" s="309"/>
      <c r="I71" s="309"/>
      <c r="J71" s="309"/>
      <c r="K71" s="309"/>
      <c r="L71" s="310"/>
    </row>
    <row r="72" spans="1:12" ht="42.75">
      <c r="A72" s="1382"/>
      <c r="B72" s="1145" t="s">
        <v>1048</v>
      </c>
      <c r="C72" s="290" t="s">
        <v>1574</v>
      </c>
      <c r="D72" s="238">
        <v>7130601958</v>
      </c>
      <c r="E72" s="233" t="s">
        <v>1070</v>
      </c>
      <c r="F72" s="236">
        <f>VLOOKUP(D72,'SOR RATE'!A:D,4,0)/1000</f>
        <v>44.989</v>
      </c>
      <c r="G72" s="311">
        <v>2968</v>
      </c>
      <c r="H72" s="1148">
        <f>F72*G72</f>
        <v>133527.35199999998</v>
      </c>
      <c r="I72" s="311">
        <v>2968</v>
      </c>
      <c r="J72" s="236">
        <f>I72*F72</f>
        <v>133527.35199999998</v>
      </c>
      <c r="K72" s="233">
        <v>3561.6</v>
      </c>
      <c r="L72" s="236">
        <f>K72*F72</f>
        <v>160232.82239999998</v>
      </c>
    </row>
    <row r="73" spans="1:12" ht="42.75">
      <c r="A73" s="1382"/>
      <c r="B73" s="1145" t="s">
        <v>1072</v>
      </c>
      <c r="C73" s="290" t="s">
        <v>623</v>
      </c>
      <c r="D73" s="238">
        <v>7130601958</v>
      </c>
      <c r="E73" s="233" t="s">
        <v>1070</v>
      </c>
      <c r="F73" s="236">
        <f>+F72</f>
        <v>44.989</v>
      </c>
      <c r="G73" s="233">
        <v>1038.8</v>
      </c>
      <c r="H73" s="1148">
        <f>F73*G73</f>
        <v>46734.57319999999</v>
      </c>
      <c r="I73" s="233">
        <v>1038.8</v>
      </c>
      <c r="J73" s="236">
        <f>I73*F73</f>
        <v>46734.57319999999</v>
      </c>
      <c r="K73" s="311">
        <v>1038.8</v>
      </c>
      <c r="L73" s="236">
        <f>K73*F73</f>
        <v>46734.57319999999</v>
      </c>
    </row>
    <row r="74" spans="1:13" ht="42.75">
      <c r="A74" s="1382"/>
      <c r="B74" s="1145" t="s">
        <v>1693</v>
      </c>
      <c r="C74" s="290" t="s">
        <v>624</v>
      </c>
      <c r="D74" s="238">
        <v>7130601958</v>
      </c>
      <c r="E74" s="233" t="s">
        <v>1070</v>
      </c>
      <c r="F74" s="236">
        <f>+F72</f>
        <v>44.989</v>
      </c>
      <c r="G74" s="233">
        <v>3264.8</v>
      </c>
      <c r="H74" s="1148">
        <f>F74*G74</f>
        <v>146880.0872</v>
      </c>
      <c r="I74" s="233">
        <f>+G74</f>
        <v>3264.8</v>
      </c>
      <c r="J74" s="236">
        <f>I74*F74</f>
        <v>146880.0872</v>
      </c>
      <c r="K74" s="311">
        <v>4081</v>
      </c>
      <c r="L74" s="236">
        <f>K74*F74</f>
        <v>183600.109</v>
      </c>
      <c r="M74" s="106"/>
    </row>
    <row r="75" spans="1:13" ht="28.5">
      <c r="A75" s="1382"/>
      <c r="B75" s="1145" t="s">
        <v>1695</v>
      </c>
      <c r="C75" s="232" t="s">
        <v>625</v>
      </c>
      <c r="D75" s="238">
        <v>7130810684</v>
      </c>
      <c r="E75" s="233" t="s">
        <v>1061</v>
      </c>
      <c r="F75" s="236">
        <f>VLOOKUP(D75,'SOR RATE'!A:D,4,0)</f>
        <v>8457</v>
      </c>
      <c r="G75" s="311">
        <v>22</v>
      </c>
      <c r="H75" s="1148">
        <f aca="true" t="shared" si="6" ref="H75:H84">F75*G75</f>
        <v>186054</v>
      </c>
      <c r="I75" s="311">
        <v>22</v>
      </c>
      <c r="J75" s="236">
        <f aca="true" t="shared" si="7" ref="J75:J84">I75*F75</f>
        <v>186054</v>
      </c>
      <c r="K75" s="233">
        <v>28</v>
      </c>
      <c r="L75" s="236">
        <f aca="true" t="shared" si="8" ref="L75:L84">K75*F75</f>
        <v>236796</v>
      </c>
      <c r="M75" s="106"/>
    </row>
    <row r="76" spans="1:13" ht="28.5">
      <c r="A76" s="1382"/>
      <c r="B76" s="1145" t="s">
        <v>1697</v>
      </c>
      <c r="C76" s="232" t="s">
        <v>626</v>
      </c>
      <c r="D76" s="238">
        <v>7130810006</v>
      </c>
      <c r="E76" s="233" t="s">
        <v>1061</v>
      </c>
      <c r="F76" s="236">
        <f>VLOOKUP(D76,'SOR RATE'!A:D,4,0)</f>
        <v>6808</v>
      </c>
      <c r="G76" s="311">
        <v>8</v>
      </c>
      <c r="H76" s="1148">
        <f t="shared" si="6"/>
        <v>54464</v>
      </c>
      <c r="I76" s="311">
        <v>8</v>
      </c>
      <c r="J76" s="236">
        <f t="shared" si="7"/>
        <v>54464</v>
      </c>
      <c r="K76" s="233">
        <v>8</v>
      </c>
      <c r="L76" s="236">
        <f t="shared" si="8"/>
        <v>54464</v>
      </c>
      <c r="M76" s="106"/>
    </row>
    <row r="77" spans="1:13" ht="28.5">
      <c r="A77" s="1382"/>
      <c r="B77" s="1145" t="s">
        <v>1699</v>
      </c>
      <c r="C77" s="232" t="s">
        <v>627</v>
      </c>
      <c r="D77" s="238">
        <v>7130810608</v>
      </c>
      <c r="E77" s="233" t="s">
        <v>1061</v>
      </c>
      <c r="F77" s="236">
        <f>VLOOKUP(D77,'SOR RATE'!A:D,4,0)</f>
        <v>5377</v>
      </c>
      <c r="G77" s="311">
        <v>7</v>
      </c>
      <c r="H77" s="1148">
        <f t="shared" si="6"/>
        <v>37639</v>
      </c>
      <c r="I77" s="311">
        <v>7</v>
      </c>
      <c r="J77" s="236">
        <f t="shared" si="7"/>
        <v>37639</v>
      </c>
      <c r="K77" s="233">
        <v>9</v>
      </c>
      <c r="L77" s="236">
        <f t="shared" si="8"/>
        <v>48393</v>
      </c>
      <c r="M77" s="106"/>
    </row>
    <row r="78" spans="1:12" ht="18.75" customHeight="1">
      <c r="A78" s="1382"/>
      <c r="B78" s="297" t="s">
        <v>1700</v>
      </c>
      <c r="C78" s="232" t="s">
        <v>628</v>
      </c>
      <c r="D78" s="238">
        <v>7130830063</v>
      </c>
      <c r="E78" s="234" t="s">
        <v>1322</v>
      </c>
      <c r="F78" s="236">
        <f>VLOOKUP(D78,'SOR RATE'!A:D,4,0)/1000</f>
        <v>64.842</v>
      </c>
      <c r="G78" s="234">
        <v>500</v>
      </c>
      <c r="H78" s="1148">
        <f t="shared" si="6"/>
        <v>32421</v>
      </c>
      <c r="I78" s="234">
        <v>500</v>
      </c>
      <c r="J78" s="236">
        <f t="shared" si="7"/>
        <v>32421</v>
      </c>
      <c r="K78" s="234">
        <v>600</v>
      </c>
      <c r="L78" s="236">
        <f t="shared" si="8"/>
        <v>38905.2</v>
      </c>
    </row>
    <row r="79" spans="1:13" ht="14.25">
      <c r="A79" s="1382"/>
      <c r="B79" s="297" t="s">
        <v>1703</v>
      </c>
      <c r="C79" s="290" t="s">
        <v>1987</v>
      </c>
      <c r="D79" s="266">
        <v>7130820009</v>
      </c>
      <c r="E79" s="241" t="s">
        <v>1130</v>
      </c>
      <c r="F79" s="236">
        <f>VLOOKUP(D79,'SOR RATE'!A:D,4,0)</f>
        <v>388</v>
      </c>
      <c r="G79" s="241">
        <v>6</v>
      </c>
      <c r="H79" s="1148">
        <f t="shared" si="6"/>
        <v>2328</v>
      </c>
      <c r="I79" s="241">
        <v>6</v>
      </c>
      <c r="J79" s="236">
        <f t="shared" si="7"/>
        <v>2328</v>
      </c>
      <c r="K79" s="241">
        <v>9</v>
      </c>
      <c r="L79" s="236">
        <f t="shared" si="8"/>
        <v>3492</v>
      </c>
      <c r="M79" s="913" t="s">
        <v>1988</v>
      </c>
    </row>
    <row r="80" spans="1:13" ht="14.25">
      <c r="A80" s="1382"/>
      <c r="B80" s="297" t="s">
        <v>1705</v>
      </c>
      <c r="C80" s="290" t="s">
        <v>1989</v>
      </c>
      <c r="D80" s="266">
        <v>7130820008</v>
      </c>
      <c r="E80" s="241" t="s">
        <v>1130</v>
      </c>
      <c r="F80" s="236">
        <f>VLOOKUP(D80,'SOR RATE'!A:D,4,0)</f>
        <v>157</v>
      </c>
      <c r="G80" s="241">
        <v>9</v>
      </c>
      <c r="H80" s="1148">
        <f t="shared" si="6"/>
        <v>1413</v>
      </c>
      <c r="I80" s="241">
        <v>12</v>
      </c>
      <c r="J80" s="236">
        <f t="shared" si="7"/>
        <v>1884</v>
      </c>
      <c r="K80" s="241">
        <v>12</v>
      </c>
      <c r="L80" s="236">
        <f t="shared" si="8"/>
        <v>1884</v>
      </c>
      <c r="M80" s="913" t="s">
        <v>1990</v>
      </c>
    </row>
    <row r="81" spans="1:14" ht="14.25">
      <c r="A81" s="1382"/>
      <c r="B81" s="1145" t="s">
        <v>1707</v>
      </c>
      <c r="C81" s="290" t="s">
        <v>1992</v>
      </c>
      <c r="D81" s="266">
        <v>7130820011</v>
      </c>
      <c r="E81" s="241" t="s">
        <v>1130</v>
      </c>
      <c r="F81" s="236">
        <f>VLOOKUP(D81,'SOR RATE'!A:D,4,0)</f>
        <v>354</v>
      </c>
      <c r="G81" s="241">
        <v>81</v>
      </c>
      <c r="H81" s="1148">
        <f t="shared" si="6"/>
        <v>28674</v>
      </c>
      <c r="I81" s="241">
        <v>81</v>
      </c>
      <c r="J81" s="236">
        <f t="shared" si="7"/>
        <v>28674</v>
      </c>
      <c r="K81" s="241">
        <v>81</v>
      </c>
      <c r="L81" s="236">
        <f t="shared" si="8"/>
        <v>28674</v>
      </c>
      <c r="M81" s="1375" t="s">
        <v>1994</v>
      </c>
      <c r="N81" s="1376"/>
    </row>
    <row r="82" spans="1:12" ht="14.25">
      <c r="A82" s="1382"/>
      <c r="B82" s="1145"/>
      <c r="C82" s="290" t="s">
        <v>630</v>
      </c>
      <c r="D82" s="266">
        <v>7130820248</v>
      </c>
      <c r="E82" s="241" t="s">
        <v>1130</v>
      </c>
      <c r="F82" s="236">
        <f>VLOOKUP(D82,'SOR RATE'!A:D,4,0)</f>
        <v>255</v>
      </c>
      <c r="G82" s="241">
        <f>27+54</f>
        <v>81</v>
      </c>
      <c r="H82" s="1148">
        <f t="shared" si="6"/>
        <v>20655</v>
      </c>
      <c r="I82" s="241">
        <f>+G82</f>
        <v>81</v>
      </c>
      <c r="J82" s="236">
        <f t="shared" si="7"/>
        <v>20655</v>
      </c>
      <c r="K82" s="241">
        <f>27+75</f>
        <v>102</v>
      </c>
      <c r="L82" s="236">
        <f t="shared" si="8"/>
        <v>26010</v>
      </c>
    </row>
    <row r="83" spans="1:13" ht="28.5">
      <c r="A83" s="1382"/>
      <c r="B83" s="1145" t="s">
        <v>1525</v>
      </c>
      <c r="C83" s="267" t="s">
        <v>1993</v>
      </c>
      <c r="D83" s="238">
        <v>7130820010</v>
      </c>
      <c r="E83" s="234" t="s">
        <v>1130</v>
      </c>
      <c r="F83" s="236">
        <f>VLOOKUP(D83,'SOR RATE'!A:D,4,0)</f>
        <v>140</v>
      </c>
      <c r="G83" s="233">
        <v>108</v>
      </c>
      <c r="H83" s="1148">
        <f>F83*G83</f>
        <v>15120</v>
      </c>
      <c r="I83" s="233">
        <v>108</v>
      </c>
      <c r="J83" s="236">
        <f t="shared" si="7"/>
        <v>15120</v>
      </c>
      <c r="K83" s="233">
        <v>150</v>
      </c>
      <c r="L83" s="236">
        <f t="shared" si="8"/>
        <v>21000</v>
      </c>
      <c r="M83" s="914" t="s">
        <v>1995</v>
      </c>
    </row>
    <row r="84" spans="1:12" ht="14.25">
      <c r="A84" s="1383"/>
      <c r="B84" s="269"/>
      <c r="C84" s="290" t="s">
        <v>631</v>
      </c>
      <c r="D84" s="266">
        <v>7130810624</v>
      </c>
      <c r="E84" s="233" t="s">
        <v>1130</v>
      </c>
      <c r="F84" s="236">
        <f>VLOOKUP(D84,'SOR RATE'!A:D,4,0)</f>
        <v>90</v>
      </c>
      <c r="G84" s="233">
        <v>198</v>
      </c>
      <c r="H84" s="1148">
        <f t="shared" si="6"/>
        <v>17820</v>
      </c>
      <c r="I84" s="233">
        <f>+G84</f>
        <v>198</v>
      </c>
      <c r="J84" s="236">
        <f t="shared" si="7"/>
        <v>17820</v>
      </c>
      <c r="K84" s="233">
        <v>246</v>
      </c>
      <c r="L84" s="236">
        <f t="shared" si="8"/>
        <v>22140</v>
      </c>
    </row>
    <row r="85" spans="1:12" ht="15.75">
      <c r="A85" s="242"/>
      <c r="B85" s="305"/>
      <c r="C85" s="268" t="s">
        <v>632</v>
      </c>
      <c r="D85" s="306"/>
      <c r="E85" s="83"/>
      <c r="F85" s="1023"/>
      <c r="G85" s="83"/>
      <c r="H85" s="1092">
        <f>SUM(H72:H84)</f>
        <v>723730.0124</v>
      </c>
      <c r="I85" s="1092"/>
      <c r="J85" s="1092">
        <f>SUM(J72:J84)</f>
        <v>724201.0124</v>
      </c>
      <c r="K85" s="1092"/>
      <c r="L85" s="1092">
        <f>SUM(L72:L84)</f>
        <v>872325.7045999999</v>
      </c>
    </row>
    <row r="86" spans="1:12" ht="15">
      <c r="A86" s="1381">
        <v>4</v>
      </c>
      <c r="B86" s="305"/>
      <c r="C86" s="307" t="s">
        <v>633</v>
      </c>
      <c r="D86" s="307"/>
      <c r="E86" s="309"/>
      <c r="F86" s="309"/>
      <c r="G86" s="309"/>
      <c r="H86" s="309"/>
      <c r="I86" s="309"/>
      <c r="J86" s="309"/>
      <c r="K86" s="309"/>
      <c r="L86" s="310"/>
    </row>
    <row r="87" spans="1:13" ht="30">
      <c r="A87" s="1382"/>
      <c r="B87" s="1151" t="s">
        <v>1690</v>
      </c>
      <c r="C87" s="268" t="s">
        <v>634</v>
      </c>
      <c r="D87" s="312"/>
      <c r="E87" s="234" t="s">
        <v>1065</v>
      </c>
      <c r="F87" s="236"/>
      <c r="G87" s="234"/>
      <c r="H87" s="236"/>
      <c r="I87" s="234"/>
      <c r="J87" s="236"/>
      <c r="K87" s="234"/>
      <c r="L87" s="313"/>
      <c r="M87" s="132"/>
    </row>
    <row r="88" spans="1:12" ht="14.25">
      <c r="A88" s="1382"/>
      <c r="B88" s="303"/>
      <c r="C88" s="290" t="s">
        <v>635</v>
      </c>
      <c r="D88" s="312">
        <v>7130200401</v>
      </c>
      <c r="E88" s="241" t="s">
        <v>1070</v>
      </c>
      <c r="F88" s="236">
        <f>VLOOKUP(D88,'SOR RATE'!A:D,4,0)/50</f>
        <v>5.36</v>
      </c>
      <c r="G88" s="314">
        <f>49.2*208</f>
        <v>10233.6</v>
      </c>
      <c r="H88" s="1148">
        <f>F88*G88</f>
        <v>54852.096000000005</v>
      </c>
      <c r="I88" s="314">
        <f>58.4*208</f>
        <v>12147.199999999999</v>
      </c>
      <c r="J88" s="236">
        <f>I88*F88</f>
        <v>65108.992</v>
      </c>
      <c r="K88" s="314">
        <f>64.4*208</f>
        <v>13395.2</v>
      </c>
      <c r="L88" s="236">
        <f>K88*F88</f>
        <v>71798.27200000001</v>
      </c>
    </row>
    <row r="89" spans="1:12" ht="14.25">
      <c r="A89" s="1382"/>
      <c r="B89" s="303" t="s">
        <v>1072</v>
      </c>
      <c r="C89" s="290" t="s">
        <v>636</v>
      </c>
      <c r="D89" s="298">
        <v>7130311054</v>
      </c>
      <c r="E89" s="234" t="s">
        <v>1025</v>
      </c>
      <c r="F89" s="236">
        <f>VLOOKUP(D89,'SOR RATE'!A:D,4,0)/1000</f>
        <v>213.718</v>
      </c>
      <c r="G89" s="234">
        <v>10</v>
      </c>
      <c r="H89" s="1148">
        <f>F89*G89</f>
        <v>2137.18</v>
      </c>
      <c r="I89" s="234">
        <v>10</v>
      </c>
      <c r="J89" s="236">
        <f>I89*F89</f>
        <v>2137.18</v>
      </c>
      <c r="K89" s="234">
        <v>10</v>
      </c>
      <c r="L89" s="236">
        <f>K89*F89</f>
        <v>2137.18</v>
      </c>
    </row>
    <row r="90" spans="1:13" ht="45" customHeight="1">
      <c r="A90" s="1382"/>
      <c r="B90" s="269" t="s">
        <v>1693</v>
      </c>
      <c r="C90" s="290" t="s">
        <v>637</v>
      </c>
      <c r="D90" s="298">
        <v>7130311084</v>
      </c>
      <c r="E90" s="233" t="s">
        <v>1025</v>
      </c>
      <c r="F90" s="236">
        <f>VLOOKUP(D90,'SOR RATE'!A:D,4,0)/1000</f>
        <v>99.916</v>
      </c>
      <c r="G90" s="233">
        <v>300</v>
      </c>
      <c r="H90" s="1148">
        <f>F90*G90</f>
        <v>29974.8</v>
      </c>
      <c r="I90" s="233">
        <v>300</v>
      </c>
      <c r="J90" s="236">
        <f>I90*F90</f>
        <v>29974.8</v>
      </c>
      <c r="K90" s="233">
        <v>300</v>
      </c>
      <c r="L90" s="236">
        <f>K90*F90</f>
        <v>29974.8</v>
      </c>
      <c r="M90" s="290"/>
    </row>
    <row r="91" spans="1:12" ht="28.5">
      <c r="A91" s="1382"/>
      <c r="B91" s="1151" t="s">
        <v>1695</v>
      </c>
      <c r="C91" s="290" t="s">
        <v>638</v>
      </c>
      <c r="D91" s="298">
        <v>7131230128</v>
      </c>
      <c r="E91" s="234" t="s">
        <v>1061</v>
      </c>
      <c r="F91" s="236">
        <f>VLOOKUP(D91,'SOR RATE'!A:D,4,0)</f>
        <v>1967</v>
      </c>
      <c r="G91" s="234">
        <v>4</v>
      </c>
      <c r="H91" s="1148">
        <f>F91*G91</f>
        <v>7868</v>
      </c>
      <c r="I91" s="234">
        <v>4</v>
      </c>
      <c r="J91" s="236">
        <f>I91*F91</f>
        <v>7868</v>
      </c>
      <c r="K91" s="234">
        <v>4</v>
      </c>
      <c r="L91" s="236">
        <f>K91*F91</f>
        <v>7868</v>
      </c>
    </row>
    <row r="92" spans="1:12" ht="30">
      <c r="A92" s="1382"/>
      <c r="B92" s="1378" t="s">
        <v>1697</v>
      </c>
      <c r="C92" s="268" t="s">
        <v>639</v>
      </c>
      <c r="D92" s="312"/>
      <c r="E92" s="233" t="s">
        <v>1041</v>
      </c>
      <c r="F92" s="46"/>
      <c r="G92" s="233" t="s">
        <v>1041</v>
      </c>
      <c r="H92" s="235"/>
      <c r="I92" s="233" t="s">
        <v>1041</v>
      </c>
      <c r="J92" s="235"/>
      <c r="K92" s="233" t="s">
        <v>1041</v>
      </c>
      <c r="L92" s="315"/>
    </row>
    <row r="93" spans="1:13" ht="29.25" customHeight="1">
      <c r="A93" s="1382"/>
      <c r="B93" s="1379"/>
      <c r="C93" s="290" t="s">
        <v>640</v>
      </c>
      <c r="D93" s="298">
        <v>7130642041</v>
      </c>
      <c r="E93" s="233" t="s">
        <v>1061</v>
      </c>
      <c r="F93" s="236">
        <f>VLOOKUP(D93,'SOR RATE'!A:D,4,0)</f>
        <v>4169</v>
      </c>
      <c r="G93" s="233">
        <v>21</v>
      </c>
      <c r="H93" s="1148">
        <f>F93*G93</f>
        <v>87549</v>
      </c>
      <c r="I93" s="233">
        <v>21</v>
      </c>
      <c r="J93" s="236">
        <f>I93*F93</f>
        <v>87549</v>
      </c>
      <c r="K93" s="233">
        <v>21</v>
      </c>
      <c r="L93" s="236">
        <f>K93*F93</f>
        <v>87549</v>
      </c>
      <c r="M93" s="106"/>
    </row>
    <row r="94" spans="1:12" ht="57">
      <c r="A94" s="1382"/>
      <c r="B94" s="1379"/>
      <c r="C94" s="290" t="s">
        <v>641</v>
      </c>
      <c r="D94" s="298">
        <v>7130642039</v>
      </c>
      <c r="E94" s="233" t="s">
        <v>1061</v>
      </c>
      <c r="F94" s="236">
        <f>VLOOKUP(D94,'SOR RATE'!A:D,4,0)</f>
        <v>820</v>
      </c>
      <c r="G94" s="233">
        <v>40</v>
      </c>
      <c r="H94" s="235">
        <f aca="true" t="shared" si="9" ref="H94:H114">F94*G94</f>
        <v>32800</v>
      </c>
      <c r="I94" s="233">
        <v>40</v>
      </c>
      <c r="J94" s="235">
        <f aca="true" t="shared" si="10" ref="J94:J114">I94*F94</f>
        <v>32800</v>
      </c>
      <c r="K94" s="233">
        <v>40</v>
      </c>
      <c r="L94" s="236">
        <f aca="true" t="shared" si="11" ref="L94:L114">K94*F94</f>
        <v>32800</v>
      </c>
    </row>
    <row r="95" spans="1:13" ht="30" customHeight="1">
      <c r="A95" s="1382"/>
      <c r="B95" s="1379"/>
      <c r="C95" s="290" t="s">
        <v>642</v>
      </c>
      <c r="D95" s="233">
        <v>7130600173</v>
      </c>
      <c r="E95" s="233" t="s">
        <v>1070</v>
      </c>
      <c r="F95" s="236">
        <f>VLOOKUP(D95,'SOR RATE'!A:D,4,0)/1000</f>
        <v>40.214</v>
      </c>
      <c r="G95" s="233">
        <f>400*2.5</f>
        <v>1000</v>
      </c>
      <c r="H95" s="1148">
        <f t="shared" si="9"/>
        <v>40214</v>
      </c>
      <c r="I95" s="233">
        <f>400*2.5</f>
        <v>1000</v>
      </c>
      <c r="J95" s="236">
        <f t="shared" si="10"/>
        <v>40214</v>
      </c>
      <c r="K95" s="233">
        <f>400*2.5</f>
        <v>1000</v>
      </c>
      <c r="L95" s="236">
        <f t="shared" si="11"/>
        <v>40214</v>
      </c>
      <c r="M95" s="316"/>
    </row>
    <row r="96" spans="1:12" ht="14.25">
      <c r="A96" s="1382"/>
      <c r="B96" s="1379"/>
      <c r="C96" s="290" t="s">
        <v>643</v>
      </c>
      <c r="D96" s="312">
        <v>7130870043</v>
      </c>
      <c r="E96" s="241" t="s">
        <v>1070</v>
      </c>
      <c r="F96" s="236">
        <f>VLOOKUP(D96,'SOR RATE'!A:D,4,0)/1000</f>
        <v>55.094</v>
      </c>
      <c r="G96" s="233">
        <v>31</v>
      </c>
      <c r="H96" s="1148">
        <f t="shared" si="9"/>
        <v>1707.914</v>
      </c>
      <c r="I96" s="233">
        <v>31</v>
      </c>
      <c r="J96" s="236">
        <f t="shared" si="10"/>
        <v>1707.914</v>
      </c>
      <c r="K96" s="233">
        <v>31</v>
      </c>
      <c r="L96" s="236">
        <f t="shared" si="11"/>
        <v>1707.914</v>
      </c>
    </row>
    <row r="97" spans="1:12" ht="14.25">
      <c r="A97" s="1382"/>
      <c r="B97" s="1379"/>
      <c r="C97" s="290" t="s">
        <v>644</v>
      </c>
      <c r="D97" s="312">
        <v>7130620133</v>
      </c>
      <c r="E97" s="241" t="s">
        <v>1070</v>
      </c>
      <c r="F97" s="236">
        <f>VLOOKUP(D97,'SOR RATE'!A:D,4,0)</f>
        <v>89</v>
      </c>
      <c r="G97" s="233">
        <v>25</v>
      </c>
      <c r="H97" s="1148">
        <f t="shared" si="9"/>
        <v>2225</v>
      </c>
      <c r="I97" s="233">
        <v>25</v>
      </c>
      <c r="J97" s="236">
        <f t="shared" si="10"/>
        <v>2225</v>
      </c>
      <c r="K97" s="233">
        <v>25</v>
      </c>
      <c r="L97" s="236">
        <f t="shared" si="11"/>
        <v>2225</v>
      </c>
    </row>
    <row r="98" spans="1:16" ht="14.25">
      <c r="A98" s="1382"/>
      <c r="B98" s="1379"/>
      <c r="C98" s="290" t="s">
        <v>645</v>
      </c>
      <c r="D98" s="312">
        <v>7130620140</v>
      </c>
      <c r="E98" s="241" t="s">
        <v>1070</v>
      </c>
      <c r="F98" s="236">
        <f>VLOOKUP(D98,'SOR RATE'!A:D,4,0)</f>
        <v>89</v>
      </c>
      <c r="G98" s="233">
        <v>10</v>
      </c>
      <c r="H98" s="1148">
        <f t="shared" si="9"/>
        <v>890</v>
      </c>
      <c r="I98" s="233">
        <v>10</v>
      </c>
      <c r="J98" s="236">
        <f t="shared" si="10"/>
        <v>890</v>
      </c>
      <c r="K98" s="233">
        <v>10</v>
      </c>
      <c r="L98" s="236">
        <f t="shared" si="11"/>
        <v>890</v>
      </c>
      <c r="M98" s="254" t="s">
        <v>646</v>
      </c>
      <c r="N98" s="213"/>
      <c r="O98" s="213"/>
      <c r="P98" s="213"/>
    </row>
    <row r="99" spans="1:12" ht="14.25">
      <c r="A99" s="1382"/>
      <c r="B99" s="1379"/>
      <c r="C99" s="290" t="s">
        <v>647</v>
      </c>
      <c r="D99" s="312">
        <v>7130622922</v>
      </c>
      <c r="E99" s="241" t="s">
        <v>1070</v>
      </c>
      <c r="F99" s="236">
        <f>VLOOKUP(D99,'SOR RATE'!A:D,4,0)</f>
        <v>127</v>
      </c>
      <c r="G99" s="233">
        <v>5</v>
      </c>
      <c r="H99" s="1148">
        <f t="shared" si="9"/>
        <v>635</v>
      </c>
      <c r="I99" s="233">
        <v>5</v>
      </c>
      <c r="J99" s="236">
        <f t="shared" si="10"/>
        <v>635</v>
      </c>
      <c r="K99" s="233">
        <v>5</v>
      </c>
      <c r="L99" s="236">
        <f t="shared" si="11"/>
        <v>635</v>
      </c>
    </row>
    <row r="100" spans="1:12" ht="15">
      <c r="A100" s="1382"/>
      <c r="B100" s="1379"/>
      <c r="C100" s="268" t="s">
        <v>648</v>
      </c>
      <c r="D100" s="312"/>
      <c r="E100" s="241" t="s">
        <v>1070</v>
      </c>
      <c r="F100" s="1148"/>
      <c r="G100" s="233">
        <v>186</v>
      </c>
      <c r="H100" s="1148"/>
      <c r="I100" s="233">
        <v>270</v>
      </c>
      <c r="J100" s="236"/>
      <c r="K100" s="233">
        <v>270</v>
      </c>
      <c r="L100" s="236"/>
    </row>
    <row r="101" spans="1:12" ht="14.25">
      <c r="A101" s="1382"/>
      <c r="B101" s="1379"/>
      <c r="C101" s="290" t="s">
        <v>649</v>
      </c>
      <c r="D101" s="312">
        <v>7130620609</v>
      </c>
      <c r="E101" s="241" t="s">
        <v>1070</v>
      </c>
      <c r="F101" s="236">
        <f>VLOOKUP(D101,'SOR RATE'!A:D,4,0)</f>
        <v>64</v>
      </c>
      <c r="G101" s="234">
        <v>10</v>
      </c>
      <c r="H101" s="1148">
        <f t="shared" si="9"/>
        <v>640</v>
      </c>
      <c r="I101" s="234">
        <v>15</v>
      </c>
      <c r="J101" s="236">
        <f t="shared" si="10"/>
        <v>960</v>
      </c>
      <c r="K101" s="234">
        <v>15</v>
      </c>
      <c r="L101" s="236">
        <f t="shared" si="11"/>
        <v>960</v>
      </c>
    </row>
    <row r="102" spans="1:12" ht="14.25">
      <c r="A102" s="1382"/>
      <c r="B102" s="1379"/>
      <c r="C102" s="290" t="s">
        <v>650</v>
      </c>
      <c r="D102" s="312">
        <v>7130620614</v>
      </c>
      <c r="E102" s="241" t="s">
        <v>1070</v>
      </c>
      <c r="F102" s="236">
        <f>VLOOKUP(D102,'SOR RATE'!A:D,4,0)</f>
        <v>63</v>
      </c>
      <c r="G102" s="234">
        <v>5</v>
      </c>
      <c r="H102" s="1148">
        <f t="shared" si="9"/>
        <v>315</v>
      </c>
      <c r="I102" s="234">
        <v>10</v>
      </c>
      <c r="J102" s="236">
        <f t="shared" si="10"/>
        <v>630</v>
      </c>
      <c r="K102" s="234">
        <v>10</v>
      </c>
      <c r="L102" s="236">
        <f t="shared" si="11"/>
        <v>630</v>
      </c>
    </row>
    <row r="103" spans="1:12" ht="14.25">
      <c r="A103" s="1382"/>
      <c r="B103" s="1379"/>
      <c r="C103" s="290" t="s">
        <v>651</v>
      </c>
      <c r="D103" s="312">
        <v>7130620619</v>
      </c>
      <c r="E103" s="241" t="s">
        <v>1070</v>
      </c>
      <c r="F103" s="236">
        <f>VLOOKUP(D103,'SOR RATE'!A:D,4,0)</f>
        <v>63</v>
      </c>
      <c r="G103" s="234">
        <v>15</v>
      </c>
      <c r="H103" s="1148">
        <f t="shared" si="9"/>
        <v>945</v>
      </c>
      <c r="I103" s="234">
        <v>25</v>
      </c>
      <c r="J103" s="236">
        <f t="shared" si="10"/>
        <v>1575</v>
      </c>
      <c r="K103" s="234">
        <v>25</v>
      </c>
      <c r="L103" s="236">
        <f t="shared" si="11"/>
        <v>1575</v>
      </c>
    </row>
    <row r="104" spans="1:12" ht="14.25">
      <c r="A104" s="1382"/>
      <c r="B104" s="1379"/>
      <c r="C104" s="290" t="s">
        <v>652</v>
      </c>
      <c r="D104" s="312">
        <v>7130620627</v>
      </c>
      <c r="E104" s="241" t="s">
        <v>1070</v>
      </c>
      <c r="F104" s="236">
        <f>VLOOKUP(D104,'SOR RATE'!A:D,4,0)</f>
        <v>62</v>
      </c>
      <c r="G104" s="234">
        <v>66</v>
      </c>
      <c r="H104" s="1148">
        <f t="shared" si="9"/>
        <v>4092</v>
      </c>
      <c r="I104" s="234">
        <v>85</v>
      </c>
      <c r="J104" s="236">
        <f t="shared" si="10"/>
        <v>5270</v>
      </c>
      <c r="K104" s="234">
        <v>85</v>
      </c>
      <c r="L104" s="236">
        <f t="shared" si="11"/>
        <v>5270</v>
      </c>
    </row>
    <row r="105" spans="1:12" ht="14.25">
      <c r="A105" s="1382"/>
      <c r="B105" s="1379"/>
      <c r="C105" s="290" t="s">
        <v>970</v>
      </c>
      <c r="D105" s="312">
        <v>7130620631</v>
      </c>
      <c r="E105" s="241" t="s">
        <v>1070</v>
      </c>
      <c r="F105" s="236">
        <f>VLOOKUP(D105,'SOR RATE'!A:D,4,0)</f>
        <v>62</v>
      </c>
      <c r="G105" s="234">
        <v>80</v>
      </c>
      <c r="H105" s="1148">
        <f t="shared" si="9"/>
        <v>4960</v>
      </c>
      <c r="I105" s="234">
        <v>110</v>
      </c>
      <c r="J105" s="236">
        <f t="shared" si="10"/>
        <v>6820</v>
      </c>
      <c r="K105" s="234">
        <v>110</v>
      </c>
      <c r="L105" s="236">
        <f t="shared" si="11"/>
        <v>6820</v>
      </c>
    </row>
    <row r="106" spans="1:12" ht="14.25">
      <c r="A106" s="1382"/>
      <c r="B106" s="1380"/>
      <c r="C106" s="290" t="s">
        <v>971</v>
      </c>
      <c r="D106" s="312">
        <v>7130620637</v>
      </c>
      <c r="E106" s="241" t="s">
        <v>1070</v>
      </c>
      <c r="F106" s="236">
        <f>VLOOKUP(D106,'SOR RATE'!A:D,4,0)</f>
        <v>62</v>
      </c>
      <c r="G106" s="234">
        <v>10</v>
      </c>
      <c r="H106" s="1148">
        <f t="shared" si="9"/>
        <v>620</v>
      </c>
      <c r="I106" s="234">
        <v>25</v>
      </c>
      <c r="J106" s="236">
        <f t="shared" si="10"/>
        <v>1550</v>
      </c>
      <c r="K106" s="234">
        <v>25</v>
      </c>
      <c r="L106" s="236">
        <f t="shared" si="11"/>
        <v>1550</v>
      </c>
    </row>
    <row r="107" spans="1:12" ht="18.75" customHeight="1">
      <c r="A107" s="1382"/>
      <c r="B107" s="1366" t="s">
        <v>1699</v>
      </c>
      <c r="C107" s="1144" t="s">
        <v>972</v>
      </c>
      <c r="D107" s="317"/>
      <c r="E107" s="318"/>
      <c r="F107" s="318"/>
      <c r="G107" s="318"/>
      <c r="H107" s="318"/>
      <c r="I107" s="318"/>
      <c r="J107" s="318"/>
      <c r="K107" s="318"/>
      <c r="L107" s="319"/>
    </row>
    <row r="108" spans="1:13" ht="18" customHeight="1">
      <c r="A108" s="1382"/>
      <c r="B108" s="1367"/>
      <c r="C108" s="290" t="s">
        <v>973</v>
      </c>
      <c r="D108" s="298">
        <v>7132476002</v>
      </c>
      <c r="E108" s="234" t="s">
        <v>1061</v>
      </c>
      <c r="F108" s="236">
        <v>3940</v>
      </c>
      <c r="G108" s="234">
        <v>1</v>
      </c>
      <c r="H108" s="1148">
        <f t="shared" si="9"/>
        <v>3940</v>
      </c>
      <c r="I108" s="234">
        <v>1</v>
      </c>
      <c r="J108" s="236">
        <f t="shared" si="10"/>
        <v>3940</v>
      </c>
      <c r="K108" s="234">
        <v>1</v>
      </c>
      <c r="L108" s="236">
        <f t="shared" si="11"/>
        <v>3940</v>
      </c>
      <c r="M108" s="57" t="s">
        <v>247</v>
      </c>
    </row>
    <row r="109" spans="1:12" ht="16.5" customHeight="1">
      <c r="A109" s="1382"/>
      <c r="B109" s="1367"/>
      <c r="C109" s="290" t="s">
        <v>974</v>
      </c>
      <c r="D109" s="298">
        <v>7132409061</v>
      </c>
      <c r="E109" s="234" t="s">
        <v>1061</v>
      </c>
      <c r="F109" s="236">
        <v>2998</v>
      </c>
      <c r="G109" s="234">
        <v>2</v>
      </c>
      <c r="H109" s="1148">
        <f t="shared" si="9"/>
        <v>5996</v>
      </c>
      <c r="I109" s="234">
        <v>2</v>
      </c>
      <c r="J109" s="236">
        <f t="shared" si="10"/>
        <v>5996</v>
      </c>
      <c r="K109" s="234">
        <v>2</v>
      </c>
      <c r="L109" s="236">
        <f t="shared" si="11"/>
        <v>5996</v>
      </c>
    </row>
    <row r="110" spans="1:12" ht="16.5" customHeight="1">
      <c r="A110" s="1382"/>
      <c r="B110" s="1368"/>
      <c r="C110" s="290" t="s">
        <v>975</v>
      </c>
      <c r="D110" s="298">
        <v>7132401672</v>
      </c>
      <c r="E110" s="234" t="s">
        <v>1061</v>
      </c>
      <c r="F110" s="236">
        <v>5128</v>
      </c>
      <c r="G110" s="234">
        <v>1</v>
      </c>
      <c r="H110" s="1148">
        <f t="shared" si="9"/>
        <v>5128</v>
      </c>
      <c r="I110" s="234">
        <v>1</v>
      </c>
      <c r="J110" s="236">
        <f t="shared" si="10"/>
        <v>5128</v>
      </c>
      <c r="K110" s="234">
        <v>1</v>
      </c>
      <c r="L110" s="236">
        <f t="shared" si="11"/>
        <v>5128</v>
      </c>
    </row>
    <row r="111" spans="1:12" ht="15">
      <c r="A111" s="1382"/>
      <c r="B111" s="1378" t="s">
        <v>1700</v>
      </c>
      <c r="C111" s="268" t="s">
        <v>976</v>
      </c>
      <c r="D111" s="312"/>
      <c r="E111" s="233" t="s">
        <v>1041</v>
      </c>
      <c r="F111" s="235"/>
      <c r="G111" s="233"/>
      <c r="H111" s="235"/>
      <c r="I111" s="233"/>
      <c r="J111" s="235"/>
      <c r="K111" s="233"/>
      <c r="L111" s="235"/>
    </row>
    <row r="112" spans="1:12" ht="28.5">
      <c r="A112" s="1382"/>
      <c r="B112" s="1379"/>
      <c r="C112" s="290" t="s">
        <v>977</v>
      </c>
      <c r="D112" s="298">
        <v>7132490006</v>
      </c>
      <c r="E112" s="233" t="s">
        <v>1061</v>
      </c>
      <c r="F112" s="236">
        <f>VLOOKUP(D112,'SOR RATE'!A:D,4,0)</f>
        <v>4619</v>
      </c>
      <c r="G112" s="233">
        <v>2</v>
      </c>
      <c r="H112" s="1148">
        <f t="shared" si="9"/>
        <v>9238</v>
      </c>
      <c r="I112" s="233">
        <v>2</v>
      </c>
      <c r="J112" s="236">
        <f t="shared" si="10"/>
        <v>9238</v>
      </c>
      <c r="K112" s="233">
        <v>2</v>
      </c>
      <c r="L112" s="236">
        <f t="shared" si="11"/>
        <v>9238</v>
      </c>
    </row>
    <row r="113" spans="1:12" ht="35.25" customHeight="1">
      <c r="A113" s="1382"/>
      <c r="B113" s="1380"/>
      <c r="C113" s="290" t="s">
        <v>978</v>
      </c>
      <c r="D113" s="298">
        <v>7132421002</v>
      </c>
      <c r="E113" s="233" t="s">
        <v>1061</v>
      </c>
      <c r="F113" s="236">
        <f>VLOOKUP(D113,'SOR RATE'!A:D,4,0)</f>
        <v>5166</v>
      </c>
      <c r="G113" s="233">
        <v>2</v>
      </c>
      <c r="H113" s="1148">
        <f t="shared" si="9"/>
        <v>10332</v>
      </c>
      <c r="I113" s="233">
        <v>2</v>
      </c>
      <c r="J113" s="236">
        <f t="shared" si="10"/>
        <v>10332</v>
      </c>
      <c r="K113" s="233">
        <v>2</v>
      </c>
      <c r="L113" s="236">
        <f t="shared" si="11"/>
        <v>10332</v>
      </c>
    </row>
    <row r="114" spans="1:13" ht="28.5">
      <c r="A114" s="1382"/>
      <c r="B114" s="269" t="s">
        <v>1703</v>
      </c>
      <c r="C114" s="290" t="s">
        <v>979</v>
      </c>
      <c r="D114" s="298">
        <v>7132448003</v>
      </c>
      <c r="E114" s="233" t="s">
        <v>1061</v>
      </c>
      <c r="F114" s="236">
        <f>VLOOKUP(D114,'SOR RATE'!A:D,4,0)</f>
        <v>3710</v>
      </c>
      <c r="G114" s="233">
        <v>3</v>
      </c>
      <c r="H114" s="1148">
        <f t="shared" si="9"/>
        <v>11130</v>
      </c>
      <c r="I114" s="233">
        <v>3</v>
      </c>
      <c r="J114" s="236">
        <f t="shared" si="10"/>
        <v>11130</v>
      </c>
      <c r="K114" s="233">
        <v>3</v>
      </c>
      <c r="L114" s="236">
        <f t="shared" si="11"/>
        <v>11130</v>
      </c>
      <c r="M114" s="914" t="s">
        <v>309</v>
      </c>
    </row>
    <row r="115" spans="1:12" ht="15.75">
      <c r="A115" s="242"/>
      <c r="B115" s="305"/>
      <c r="C115" s="268" t="s">
        <v>1578</v>
      </c>
      <c r="D115" s="312"/>
      <c r="E115" s="83"/>
      <c r="F115" s="135"/>
      <c r="G115" s="135"/>
      <c r="H115" s="240">
        <f>SUM(H88:H114)</f>
        <v>318188.99</v>
      </c>
      <c r="I115" s="240"/>
      <c r="J115" s="240">
        <f>SUM(J88:J114)</f>
        <v>333678.886</v>
      </c>
      <c r="K115" s="240"/>
      <c r="L115" s="240">
        <f>SUM(L88:L114)</f>
        <v>340368.16599999997</v>
      </c>
    </row>
    <row r="116" spans="1:17" ht="15.75">
      <c r="A116" s="320">
        <v>5</v>
      </c>
      <c r="B116" s="321"/>
      <c r="C116" s="290" t="s">
        <v>1579</v>
      </c>
      <c r="D116" s="312"/>
      <c r="E116" s="321"/>
      <c r="F116" s="234"/>
      <c r="G116" s="234"/>
      <c r="H116" s="236">
        <f>H115+H85+H70+H22</f>
        <v>6045032.607799999</v>
      </c>
      <c r="I116" s="236"/>
      <c r="J116" s="236">
        <f>J115+J85+J70+J22</f>
        <v>7659104.6438</v>
      </c>
      <c r="K116" s="236"/>
      <c r="L116" s="236">
        <f>L115+L85+L70+L22</f>
        <v>9005121.756000001</v>
      </c>
      <c r="M116" s="322"/>
      <c r="N116" s="322"/>
      <c r="O116" s="322"/>
      <c r="P116" s="322"/>
      <c r="Q116" s="322"/>
    </row>
    <row r="117" spans="1:17" ht="15.75">
      <c r="A117" s="320">
        <v>6</v>
      </c>
      <c r="B117" s="321"/>
      <c r="C117" s="290" t="s">
        <v>1580</v>
      </c>
      <c r="D117" s="312"/>
      <c r="E117" s="321"/>
      <c r="F117" s="234"/>
      <c r="G117" s="234"/>
      <c r="H117" s="236">
        <f>H116-H22</f>
        <v>3519492.6077999994</v>
      </c>
      <c r="I117" s="236"/>
      <c r="J117" s="236">
        <f>J116-J22</f>
        <v>5133564.6438</v>
      </c>
      <c r="K117" s="236"/>
      <c r="L117" s="236">
        <f>L116-L22</f>
        <v>6479581.756000001</v>
      </c>
      <c r="M117" s="322"/>
      <c r="N117" s="322"/>
      <c r="O117" s="322"/>
      <c r="P117" s="322"/>
      <c r="Q117" s="322"/>
    </row>
    <row r="118" spans="1:14" ht="14.25">
      <c r="A118" s="1396">
        <v>7</v>
      </c>
      <c r="B118" s="321"/>
      <c r="C118" s="290" t="s">
        <v>1581</v>
      </c>
      <c r="D118" s="312"/>
      <c r="E118" s="321"/>
      <c r="F118" s="234">
        <v>0.09</v>
      </c>
      <c r="G118" s="234"/>
      <c r="H118" s="236">
        <f>0.09*H117</f>
        <v>316754.33470199996</v>
      </c>
      <c r="I118" s="234"/>
      <c r="J118" s="236">
        <f>0.09*J117</f>
        <v>462020.81794199994</v>
      </c>
      <c r="K118" s="234"/>
      <c r="L118" s="236">
        <f>0.09*L117</f>
        <v>583162.3580400001</v>
      </c>
      <c r="M118" s="352"/>
      <c r="N118" s="353"/>
    </row>
    <row r="119" spans="1:12" ht="16.5" customHeight="1">
      <c r="A119" s="1396"/>
      <c r="B119" s="303" t="s">
        <v>1582</v>
      </c>
      <c r="C119" s="290" t="s">
        <v>1583</v>
      </c>
      <c r="D119" s="312"/>
      <c r="E119" s="241" t="s">
        <v>1061</v>
      </c>
      <c r="F119" s="236">
        <f>10254.24*1.27*1.0891*1.086275*1.1112*1.0685</f>
        <v>18292.855370189558</v>
      </c>
      <c r="G119" s="234">
        <v>1</v>
      </c>
      <c r="H119" s="1148">
        <f>F119*G119</f>
        <v>18292.855370189558</v>
      </c>
      <c r="I119" s="234">
        <v>1</v>
      </c>
      <c r="J119" s="236">
        <f>I119*F119</f>
        <v>18292.855370189558</v>
      </c>
      <c r="K119" s="234">
        <v>1</v>
      </c>
      <c r="L119" s="236">
        <f>K119*F119</f>
        <v>18292.855370189558</v>
      </c>
    </row>
    <row r="120" spans="1:12" ht="31.5" customHeight="1">
      <c r="A120" s="1396"/>
      <c r="B120" s="269" t="s">
        <v>998</v>
      </c>
      <c r="C120" s="290" t="s">
        <v>999</v>
      </c>
      <c r="D120" s="312"/>
      <c r="E120" s="234" t="s">
        <v>1025</v>
      </c>
      <c r="F120" s="236">
        <f>1.1*800*1.27*1.0891*1.086275*1.1112*1.0685</f>
        <v>1569.8591729632635</v>
      </c>
      <c r="G120" s="234">
        <v>70</v>
      </c>
      <c r="H120" s="1148">
        <f>F120*G120</f>
        <v>109890.14210742844</v>
      </c>
      <c r="I120" s="234">
        <v>70</v>
      </c>
      <c r="J120" s="236">
        <f>I120*F120</f>
        <v>109890.14210742844</v>
      </c>
      <c r="K120" s="234">
        <v>80</v>
      </c>
      <c r="L120" s="236">
        <f>K120*F120</f>
        <v>125588.73383706108</v>
      </c>
    </row>
    <row r="121" spans="1:12" ht="16.5" customHeight="1">
      <c r="A121" s="1396"/>
      <c r="B121" s="303" t="s">
        <v>1000</v>
      </c>
      <c r="C121" s="290" t="s">
        <v>1001</v>
      </c>
      <c r="D121" s="312"/>
      <c r="E121" s="241" t="s">
        <v>1061</v>
      </c>
      <c r="F121" s="236">
        <f>1.1*6000*1.27*1.0891*1.086275*1.1112*1.0685</f>
        <v>11773.943797224478</v>
      </c>
      <c r="G121" s="234">
        <v>1</v>
      </c>
      <c r="H121" s="1148">
        <f>F121*G121</f>
        <v>11773.943797224478</v>
      </c>
      <c r="I121" s="234">
        <v>1</v>
      </c>
      <c r="J121" s="236">
        <f>I121*F121</f>
        <v>11773.943797224478</v>
      </c>
      <c r="K121" s="234">
        <v>1</v>
      </c>
      <c r="L121" s="236">
        <f>K121*F121</f>
        <v>11773.943797224478</v>
      </c>
    </row>
    <row r="122" spans="1:12" ht="16.5" customHeight="1">
      <c r="A122" s="1396"/>
      <c r="B122" s="269" t="s">
        <v>1002</v>
      </c>
      <c r="C122" s="290" t="s">
        <v>1003</v>
      </c>
      <c r="D122" s="312"/>
      <c r="E122" s="1077" t="s">
        <v>1061</v>
      </c>
      <c r="F122" s="235">
        <f>1.1*5000*1.27*1.0891*1.086275*1.1112*1.0685</f>
        <v>9811.619831020394</v>
      </c>
      <c r="G122" s="233">
        <v>1</v>
      </c>
      <c r="H122" s="1148">
        <f>F122*G122</f>
        <v>9811.619831020394</v>
      </c>
      <c r="I122" s="233">
        <v>1</v>
      </c>
      <c r="J122" s="236">
        <f>I122*F122</f>
        <v>9811.619831020394</v>
      </c>
      <c r="K122" s="233">
        <v>1</v>
      </c>
      <c r="L122" s="236">
        <f>K122*F122</f>
        <v>9811.619831020394</v>
      </c>
    </row>
    <row r="123" spans="1:12" ht="16.5" customHeight="1">
      <c r="A123" s="1396"/>
      <c r="B123" s="297" t="s">
        <v>1004</v>
      </c>
      <c r="C123" s="290" t="s">
        <v>1005</v>
      </c>
      <c r="D123" s="312"/>
      <c r="E123" s="241" t="s">
        <v>1065</v>
      </c>
      <c r="F123" s="236">
        <f>1664*1.27*1.0891*1.086275*1.1112*1.0685</f>
        <v>2968.460981603261</v>
      </c>
      <c r="G123" s="234">
        <v>49.2</v>
      </c>
      <c r="H123" s="1148">
        <f>F123*G123</f>
        <v>146048.28029488045</v>
      </c>
      <c r="I123" s="234">
        <v>58.4</v>
      </c>
      <c r="J123" s="236">
        <f>I123*F123</f>
        <v>173358.12132563046</v>
      </c>
      <c r="K123" s="234">
        <v>64.4</v>
      </c>
      <c r="L123" s="236">
        <f>K123*F123</f>
        <v>191168.88721525003</v>
      </c>
    </row>
    <row r="124" spans="1:13" ht="19.5" customHeight="1">
      <c r="A124" s="297">
        <v>8</v>
      </c>
      <c r="B124" s="321"/>
      <c r="C124" s="232" t="s">
        <v>1006</v>
      </c>
      <c r="D124" s="312"/>
      <c r="E124" s="321"/>
      <c r="F124" s="234"/>
      <c r="G124" s="236"/>
      <c r="H124" s="236">
        <f>106948+41020</f>
        <v>147968</v>
      </c>
      <c r="I124" s="236"/>
      <c r="J124" s="236">
        <f>108632+48759</f>
        <v>157391</v>
      </c>
      <c r="K124" s="236"/>
      <c r="L124" s="236">
        <f>122783+56756</f>
        <v>179539</v>
      </c>
      <c r="M124" s="291"/>
    </row>
    <row r="125" spans="1:12" ht="14.25">
      <c r="A125" s="321">
        <v>9</v>
      </c>
      <c r="B125" s="321"/>
      <c r="C125" s="290" t="s">
        <v>1007</v>
      </c>
      <c r="D125" s="312"/>
      <c r="E125" s="321"/>
      <c r="F125" s="234"/>
      <c r="G125" s="236"/>
      <c r="H125" s="236">
        <f>1.1*18000*1.2*1.1*1.1797*1.1402*0.9368</f>
        <v>32933.55550219892</v>
      </c>
      <c r="I125" s="234"/>
      <c r="J125" s="236">
        <f>1.1*18000*1.2*1.1*1.1797*1.1402*0.9368</f>
        <v>32933.55550219892</v>
      </c>
      <c r="K125" s="236"/>
      <c r="L125" s="236">
        <f>1.1*20000*1.2*1.1*1.1797*1.1402*0.9368</f>
        <v>36592.83944688769</v>
      </c>
    </row>
    <row r="126" spans="1:17" ht="28.5">
      <c r="A126" s="323">
        <v>10</v>
      </c>
      <c r="B126" s="321"/>
      <c r="C126" s="290" t="s">
        <v>1008</v>
      </c>
      <c r="D126" s="312"/>
      <c r="E126" s="321"/>
      <c r="F126" s="236"/>
      <c r="G126" s="236"/>
      <c r="H126" s="236">
        <f>(H117+H118+H119+H120+H121+H122+H123+H124+H125)+H22</f>
        <v>6838505.339404942</v>
      </c>
      <c r="I126" s="236"/>
      <c r="J126" s="236">
        <f>(J117+J118+J119+J120+J121+J122+J123+J124+J125)+J22</f>
        <v>8634576.69967569</v>
      </c>
      <c r="K126" s="236"/>
      <c r="L126" s="236">
        <f>(L117+L118+L119+L120+L121+L122+L123+L124+L125)+L22</f>
        <v>10161051.993537635</v>
      </c>
      <c r="M126" s="322"/>
      <c r="N126" s="322"/>
      <c r="O126" s="322"/>
      <c r="P126" s="322"/>
      <c r="Q126" s="322"/>
    </row>
    <row r="127" spans="1:12" ht="15">
      <c r="A127" s="242">
        <v>11</v>
      </c>
      <c r="B127" s="321"/>
      <c r="C127" s="290" t="s">
        <v>1319</v>
      </c>
      <c r="D127" s="312"/>
      <c r="E127" s="321"/>
      <c r="F127" s="234"/>
      <c r="G127" s="234"/>
      <c r="H127" s="240">
        <f>H126/100000</f>
        <v>68.38505339404942</v>
      </c>
      <c r="I127" s="240"/>
      <c r="J127" s="240">
        <f>J126/100000</f>
        <v>86.34576699675691</v>
      </c>
      <c r="K127" s="240"/>
      <c r="L127" s="240">
        <f>L126/100000</f>
        <v>101.61051993537635</v>
      </c>
    </row>
    <row r="128" spans="1:13" ht="45.75" customHeight="1">
      <c r="A128" s="323">
        <v>12</v>
      </c>
      <c r="B128" s="321"/>
      <c r="C128" s="262" t="s">
        <v>773</v>
      </c>
      <c r="D128" s="312"/>
      <c r="E128" s="321"/>
      <c r="F128" s="234">
        <v>0.11</v>
      </c>
      <c r="G128" s="234"/>
      <c r="H128" s="236">
        <f>H117*F128</f>
        <v>387144.18685799994</v>
      </c>
      <c r="I128" s="236"/>
      <c r="J128" s="236">
        <f>J117*F128</f>
        <v>564692.1108179999</v>
      </c>
      <c r="K128" s="236"/>
      <c r="L128" s="236">
        <f>L117*F128</f>
        <v>712753.9931600001</v>
      </c>
      <c r="M128" s="324"/>
    </row>
    <row r="129" spans="1:12" ht="15">
      <c r="A129" s="242">
        <v>13</v>
      </c>
      <c r="B129" s="321"/>
      <c r="C129" s="325" t="s">
        <v>1009</v>
      </c>
      <c r="D129" s="312"/>
      <c r="E129" s="321"/>
      <c r="F129" s="234"/>
      <c r="G129" s="234"/>
      <c r="H129" s="236">
        <f>H126+H128</f>
        <v>7225649.526262942</v>
      </c>
      <c r="I129" s="236"/>
      <c r="J129" s="236">
        <f>J126+J128</f>
        <v>9199268.81049369</v>
      </c>
      <c r="K129" s="236"/>
      <c r="L129" s="236">
        <f>L126+L128</f>
        <v>10873805.986697635</v>
      </c>
    </row>
    <row r="130" spans="1:12" ht="15">
      <c r="A130" s="242">
        <v>14</v>
      </c>
      <c r="B130" s="321"/>
      <c r="C130" s="290" t="s">
        <v>1010</v>
      </c>
      <c r="D130" s="312"/>
      <c r="E130" s="321"/>
      <c r="F130" s="234"/>
      <c r="G130" s="236"/>
      <c r="H130" s="236">
        <f>ROUND(H129,0)</f>
        <v>7225650</v>
      </c>
      <c r="I130" s="236"/>
      <c r="J130" s="236">
        <f>ROUND(J129,0)</f>
        <v>9199269</v>
      </c>
      <c r="K130" s="236"/>
      <c r="L130" s="236">
        <f>ROUND(L129,0)</f>
        <v>10873806</v>
      </c>
    </row>
    <row r="131" spans="1:12" ht="15.75">
      <c r="A131" s="320">
        <v>15</v>
      </c>
      <c r="B131" s="305"/>
      <c r="C131" s="268" t="s">
        <v>1320</v>
      </c>
      <c r="D131" s="306"/>
      <c r="E131" s="305"/>
      <c r="F131" s="135"/>
      <c r="G131" s="135"/>
      <c r="H131" s="240">
        <f>H130/100000</f>
        <v>72.2565</v>
      </c>
      <c r="I131" s="135"/>
      <c r="J131" s="240">
        <f>J130/100000</f>
        <v>91.99269</v>
      </c>
      <c r="K131" s="135"/>
      <c r="L131" s="240">
        <f>L130/100000</f>
        <v>108.73806</v>
      </c>
    </row>
    <row r="132" spans="1:12" ht="15.75">
      <c r="A132" s="326" t="s">
        <v>1075</v>
      </c>
      <c r="B132" s="68"/>
      <c r="C132" s="327"/>
      <c r="D132" s="328"/>
      <c r="E132" s="68"/>
      <c r="F132" s="68"/>
      <c r="G132" s="68"/>
      <c r="H132" s="68"/>
      <c r="I132" s="329"/>
      <c r="J132" s="68"/>
      <c r="K132" s="329"/>
      <c r="L132" s="329"/>
    </row>
    <row r="133" spans="1:12" ht="24.75" customHeight="1">
      <c r="A133" s="330"/>
      <c r="B133" s="331" t="s">
        <v>1011</v>
      </c>
      <c r="C133" s="1391" t="s">
        <v>1076</v>
      </c>
      <c r="D133" s="1391"/>
      <c r="E133" s="1391"/>
      <c r="F133" s="1391"/>
      <c r="G133" s="1391"/>
      <c r="H133" s="1391"/>
      <c r="I133" s="1391"/>
      <c r="J133" s="1391"/>
      <c r="K133" s="1391"/>
      <c r="L133" s="1391"/>
    </row>
    <row r="134" spans="1:12" ht="66.75" customHeight="1">
      <c r="A134" s="330"/>
      <c r="B134" s="332" t="s">
        <v>1012</v>
      </c>
      <c r="C134" s="1392" t="s">
        <v>1318</v>
      </c>
      <c r="D134" s="1392"/>
      <c r="E134" s="1392"/>
      <c r="F134" s="1392"/>
      <c r="G134" s="1392"/>
      <c r="H134" s="1392"/>
      <c r="I134" s="1392"/>
      <c r="J134" s="1392"/>
      <c r="K134" s="1392"/>
      <c r="L134" s="1392"/>
    </row>
    <row r="135" spans="1:12" ht="36" customHeight="1">
      <c r="A135" s="14"/>
      <c r="B135" s="332" t="s">
        <v>1013</v>
      </c>
      <c r="C135" s="1392" t="s">
        <v>1014</v>
      </c>
      <c r="D135" s="1392"/>
      <c r="E135" s="1392"/>
      <c r="F135" s="1392"/>
      <c r="G135" s="1392"/>
      <c r="H135" s="1392"/>
      <c r="I135" s="1392"/>
      <c r="J135" s="1392"/>
      <c r="K135" s="1392"/>
      <c r="L135" s="1392"/>
    </row>
    <row r="136" spans="1:12" ht="15">
      <c r="A136" s="14"/>
      <c r="B136" s="14"/>
      <c r="C136" s="333"/>
      <c r="D136" s="334"/>
      <c r="E136" s="14"/>
      <c r="F136" s="14"/>
      <c r="G136" s="14"/>
      <c r="I136" s="14"/>
      <c r="J136" s="14"/>
      <c r="K136" s="14"/>
      <c r="L136" s="14"/>
    </row>
    <row r="137" spans="3:4" ht="15">
      <c r="C137" s="7"/>
      <c r="D137" s="335"/>
    </row>
    <row r="155" ht="18">
      <c r="C155" s="696" t="s">
        <v>905</v>
      </c>
    </row>
    <row r="158" spans="3:5" ht="14.25">
      <c r="C158" s="290" t="s">
        <v>1991</v>
      </c>
      <c r="D158" s="266">
        <v>7130820158</v>
      </c>
      <c r="E158" s="241" t="s">
        <v>1130</v>
      </c>
    </row>
    <row r="159" spans="3:5" ht="14.25">
      <c r="C159" s="290" t="s">
        <v>629</v>
      </c>
      <c r="D159" s="266">
        <v>7130820155</v>
      </c>
      <c r="E159" s="241" t="s">
        <v>1130</v>
      </c>
    </row>
    <row r="169" spans="8:12" ht="14.25">
      <c r="H169" s="197"/>
      <c r="I169" s="197"/>
      <c r="J169" s="197"/>
      <c r="K169" s="197"/>
      <c r="L169" s="197"/>
    </row>
  </sheetData>
  <sheetProtection/>
  <mergeCells count="31">
    <mergeCell ref="C133:L133"/>
    <mergeCell ref="C134:L134"/>
    <mergeCell ref="C135:L135"/>
    <mergeCell ref="B50:B52"/>
    <mergeCell ref="B53:B54"/>
    <mergeCell ref="A118:A123"/>
    <mergeCell ref="A71:A84"/>
    <mergeCell ref="A86:A114"/>
    <mergeCell ref="B111:B113"/>
    <mergeCell ref="B107:B110"/>
    <mergeCell ref="A6:A9"/>
    <mergeCell ref="B92:B106"/>
    <mergeCell ref="G6:H8"/>
    <mergeCell ref="B31:B34"/>
    <mergeCell ref="B35:B37"/>
    <mergeCell ref="A11:A22"/>
    <mergeCell ref="D11:L11"/>
    <mergeCell ref="A23:A69"/>
    <mergeCell ref="D23:L23"/>
    <mergeCell ref="E1:H1"/>
    <mergeCell ref="C3:J3"/>
    <mergeCell ref="B6:C9"/>
    <mergeCell ref="D6:D9"/>
    <mergeCell ref="E6:E9"/>
    <mergeCell ref="M81:N81"/>
    <mergeCell ref="F6:F9"/>
    <mergeCell ref="K6:L8"/>
    <mergeCell ref="B10:C10"/>
    <mergeCell ref="I6:J8"/>
    <mergeCell ref="B27:B30"/>
    <mergeCell ref="B24:B26"/>
  </mergeCells>
  <printOptions/>
  <pageMargins left="0.98" right="0.17" top="0.69" bottom="0.39" header="0.5" footer="0.23"/>
  <pageSetup horizontalDpi="600" verticalDpi="600" orientation="landscape" paperSize="9" scale="82" r:id="rId2"/>
  <drawing r:id="rId1"/>
</worksheet>
</file>

<file path=xl/worksheets/sheet17.xml><?xml version="1.0" encoding="utf-8"?>
<worksheet xmlns="http://schemas.openxmlformats.org/spreadsheetml/2006/main" xmlns:r="http://schemas.openxmlformats.org/officeDocument/2006/relationships">
  <sheetPr>
    <tabColor indexed="11"/>
  </sheetPr>
  <dimension ref="A1:O41"/>
  <sheetViews>
    <sheetView zoomScaleSheetLayoutView="85" zoomScalePageLayoutView="0" workbookViewId="0" topLeftCell="A1">
      <pane xSplit="1" ySplit="9" topLeftCell="B10" activePane="bottomRight" state="frozen"/>
      <selection pane="topLeft" activeCell="A1" sqref="A1"/>
      <selection pane="topRight" activeCell="B1" sqref="B1"/>
      <selection pane="bottomLeft" activeCell="A11" sqref="A11"/>
      <selection pane="bottomRight" activeCell="A1" sqref="A1"/>
    </sheetView>
  </sheetViews>
  <sheetFormatPr defaultColWidth="9.140625" defaultRowHeight="12.75"/>
  <cols>
    <col min="1" max="1" width="6.00390625" style="2" customWidth="1"/>
    <col min="2" max="2" width="41.421875" style="2" customWidth="1"/>
    <col min="3" max="3" width="14.140625" style="18" customWidth="1"/>
    <col min="4" max="4" width="5.28125" style="18" customWidth="1"/>
    <col min="5" max="5" width="11.8515625" style="18" bestFit="1" customWidth="1"/>
    <col min="6" max="6" width="5.140625" style="18" bestFit="1" customWidth="1"/>
    <col min="7" max="9" width="11.8515625" style="2" bestFit="1" customWidth="1"/>
    <col min="10" max="10" width="15.140625" style="2" customWidth="1"/>
    <col min="11" max="16384" width="9.140625" style="2" customWidth="1"/>
  </cols>
  <sheetData>
    <row r="1" spans="2:9" ht="18">
      <c r="B1" s="126"/>
      <c r="C1" s="1279" t="s">
        <v>439</v>
      </c>
      <c r="D1" s="1279"/>
      <c r="E1" s="1279"/>
      <c r="F1" s="1279"/>
      <c r="G1" s="1279"/>
      <c r="H1" s="126"/>
      <c r="I1" s="126"/>
    </row>
    <row r="2" ht="15">
      <c r="I2" s="897" t="s">
        <v>1153</v>
      </c>
    </row>
    <row r="3" spans="2:9" ht="15">
      <c r="B3" s="340"/>
      <c r="C3" s="1403" t="s">
        <v>440</v>
      </c>
      <c r="D3" s="1403"/>
      <c r="E3" s="1403"/>
      <c r="F3" s="1403"/>
      <c r="G3" s="341"/>
      <c r="H3" s="340"/>
      <c r="I3" s="340"/>
    </row>
    <row r="4" spans="1:9" ht="9.75" customHeight="1">
      <c r="A4" s="84"/>
      <c r="B4" s="84"/>
      <c r="C4" s="342"/>
      <c r="D4" s="342"/>
      <c r="E4" s="342"/>
      <c r="F4" s="342"/>
      <c r="G4" s="84"/>
      <c r="H4" s="84"/>
      <c r="I4" s="84"/>
    </row>
    <row r="5" spans="2:9" ht="15">
      <c r="B5" s="343"/>
      <c r="C5" s="1404" t="s">
        <v>441</v>
      </c>
      <c r="D5" s="1404"/>
      <c r="E5" s="1404"/>
      <c r="F5" s="1404"/>
      <c r="G5" s="1404"/>
      <c r="H5" s="343"/>
      <c r="I5" s="343"/>
    </row>
    <row r="6" spans="1:9" ht="12.75">
      <c r="A6" s="344"/>
      <c r="B6" s="344"/>
      <c r="C6" s="345"/>
      <c r="D6" s="345"/>
      <c r="E6" s="345"/>
      <c r="F6" s="345"/>
      <c r="G6" s="344"/>
      <c r="H6" s="344"/>
      <c r="I6" s="344"/>
    </row>
    <row r="7" spans="1:9" ht="15" customHeight="1">
      <c r="A7" s="1347" t="s">
        <v>1947</v>
      </c>
      <c r="B7" s="1347" t="s">
        <v>1057</v>
      </c>
      <c r="C7" s="1405" t="s">
        <v>1331</v>
      </c>
      <c r="D7" s="1351" t="s">
        <v>1058</v>
      </c>
      <c r="E7" s="1351" t="s">
        <v>1018</v>
      </c>
      <c r="F7" s="1351" t="s">
        <v>1060</v>
      </c>
      <c r="G7" s="1347" t="s">
        <v>442</v>
      </c>
      <c r="H7" s="1347" t="s">
        <v>443</v>
      </c>
      <c r="I7" s="1347" t="s">
        <v>444</v>
      </c>
    </row>
    <row r="8" spans="1:9" ht="15" customHeight="1">
      <c r="A8" s="1348"/>
      <c r="B8" s="1348"/>
      <c r="C8" s="1405"/>
      <c r="D8" s="1351"/>
      <c r="E8" s="1351"/>
      <c r="F8" s="1351"/>
      <c r="G8" s="1348"/>
      <c r="H8" s="1348"/>
      <c r="I8" s="1348"/>
    </row>
    <row r="9" spans="1:9" ht="15">
      <c r="A9" s="83">
        <v>1</v>
      </c>
      <c r="B9" s="170">
        <v>2</v>
      </c>
      <c r="C9" s="83">
        <v>3</v>
      </c>
      <c r="D9" s="83">
        <v>4</v>
      </c>
      <c r="E9" s="83">
        <v>5</v>
      </c>
      <c r="F9" s="83">
        <v>6</v>
      </c>
      <c r="G9" s="83">
        <v>7</v>
      </c>
      <c r="H9" s="83">
        <v>8</v>
      </c>
      <c r="I9" s="83">
        <v>9</v>
      </c>
    </row>
    <row r="10" spans="1:9" ht="18" customHeight="1">
      <c r="A10" s="1398">
        <v>1</v>
      </c>
      <c r="B10" s="1158" t="s">
        <v>445</v>
      </c>
      <c r="C10" s="1159"/>
      <c r="D10" s="1159"/>
      <c r="E10" s="1159"/>
      <c r="F10" s="1159"/>
      <c r="G10" s="1159"/>
      <c r="H10" s="1159"/>
      <c r="I10" s="1159"/>
    </row>
    <row r="11" spans="1:12" ht="18" customHeight="1">
      <c r="A11" s="1399"/>
      <c r="B11" s="1158" t="s">
        <v>446</v>
      </c>
      <c r="C11" s="346">
        <v>7132220091</v>
      </c>
      <c r="D11" s="347" t="s">
        <v>1061</v>
      </c>
      <c r="E11" s="1160">
        <f>VLOOKUP(C11,'SOR RATE'!A:D,4,0)</f>
        <v>841136</v>
      </c>
      <c r="F11" s="346">
        <v>1</v>
      </c>
      <c r="G11" s="1160">
        <f>E11*F11</f>
        <v>841136</v>
      </c>
      <c r="H11" s="1160"/>
      <c r="I11" s="1160"/>
      <c r="J11" s="348"/>
      <c r="K11" s="349"/>
      <c r="L11" s="349"/>
    </row>
    <row r="12" spans="1:12" ht="18" customHeight="1">
      <c r="A12" s="1399"/>
      <c r="B12" s="1158" t="s">
        <v>447</v>
      </c>
      <c r="C12" s="346">
        <v>7132220095</v>
      </c>
      <c r="D12" s="347" t="s">
        <v>1061</v>
      </c>
      <c r="E12" s="1160">
        <f>VLOOKUP(C12,'SOR RATE'!A:D,4,0)</f>
        <v>2112952</v>
      </c>
      <c r="F12" s="346">
        <v>1</v>
      </c>
      <c r="G12" s="1160"/>
      <c r="H12" s="1160">
        <f>E12*F12</f>
        <v>2112952</v>
      </c>
      <c r="I12" s="1160"/>
      <c r="J12" s="350"/>
      <c r="K12" s="350"/>
      <c r="L12" s="350"/>
    </row>
    <row r="13" spans="1:12" ht="18" customHeight="1">
      <c r="A13" s="1400"/>
      <c r="B13" s="1158" t="s">
        <v>448</v>
      </c>
      <c r="C13" s="346">
        <v>7132220097</v>
      </c>
      <c r="D13" s="347" t="s">
        <v>1061</v>
      </c>
      <c r="E13" s="1160">
        <f>VLOOKUP(C13,'SOR RATE'!A:D,4,0)</f>
        <v>3010759</v>
      </c>
      <c r="F13" s="346">
        <v>1</v>
      </c>
      <c r="G13" s="1160"/>
      <c r="H13" s="1160"/>
      <c r="I13" s="1160">
        <f>E13*F13</f>
        <v>3010759</v>
      </c>
      <c r="J13" s="350"/>
      <c r="K13" s="350"/>
      <c r="L13" s="350"/>
    </row>
    <row r="14" spans="1:12" ht="13.5">
      <c r="A14" s="1161">
        <v>2</v>
      </c>
      <c r="B14" s="351" t="s">
        <v>771</v>
      </c>
      <c r="C14" s="1162"/>
      <c r="D14" s="1162"/>
      <c r="E14" s="1162"/>
      <c r="F14" s="1162"/>
      <c r="G14" s="1163">
        <f>SUM(G11:G13)</f>
        <v>841136</v>
      </c>
      <c r="H14" s="1163">
        <f>SUM(H11:H13)</f>
        <v>2112952</v>
      </c>
      <c r="I14" s="1163">
        <f>SUM(I11:I13)</f>
        <v>3010759</v>
      </c>
      <c r="J14" s="352"/>
      <c r="K14" s="353"/>
      <c r="L14" s="350"/>
    </row>
    <row r="15" spans="1:12" ht="15.75" customHeight="1">
      <c r="A15" s="347">
        <v>3</v>
      </c>
      <c r="B15" s="1164" t="s">
        <v>770</v>
      </c>
      <c r="C15" s="1165"/>
      <c r="D15" s="1165"/>
      <c r="E15" s="1160">
        <v>0.09</v>
      </c>
      <c r="F15" s="1166"/>
      <c r="G15" s="1160">
        <f>G14*E15</f>
        <v>75702.23999999999</v>
      </c>
      <c r="H15" s="1160">
        <f>H14*E15</f>
        <v>190165.68</v>
      </c>
      <c r="I15" s="1160">
        <f>I14*E15</f>
        <v>270968.31</v>
      </c>
      <c r="J15" s="352"/>
      <c r="K15" s="353"/>
      <c r="L15" s="350"/>
    </row>
    <row r="16" spans="1:12" ht="14.25" customHeight="1">
      <c r="A16" s="1167">
        <v>4</v>
      </c>
      <c r="B16" s="354" t="s">
        <v>449</v>
      </c>
      <c r="C16" s="346"/>
      <c r="D16" s="1168"/>
      <c r="E16" s="346"/>
      <c r="F16" s="1168"/>
      <c r="G16" s="1160">
        <f>1.1*2500*1.0891*1.086275*1.1112*1.0685</f>
        <v>3862.8424531576366</v>
      </c>
      <c r="H16" s="1160">
        <f>1.1*4000*1.0891*1.086275*1.1112*1.0685</f>
        <v>6180.547925052218</v>
      </c>
      <c r="I16" s="1169">
        <f>1.1*4000*1.0891*1.086275*1.1112*1.0685</f>
        <v>6180.547925052218</v>
      </c>
      <c r="J16" s="350"/>
      <c r="K16" s="350"/>
      <c r="L16" s="350"/>
    </row>
    <row r="17" spans="1:12" ht="16.5" customHeight="1">
      <c r="A17" s="347">
        <v>5</v>
      </c>
      <c r="B17" s="355" t="s">
        <v>450</v>
      </c>
      <c r="C17" s="346"/>
      <c r="D17" s="346"/>
      <c r="E17" s="346"/>
      <c r="F17" s="346"/>
      <c r="G17" s="1160">
        <v>41020.06</v>
      </c>
      <c r="H17" s="1170">
        <v>48758.82</v>
      </c>
      <c r="I17" s="1160">
        <v>56756.45</v>
      </c>
      <c r="J17" s="350"/>
      <c r="K17" s="201"/>
      <c r="L17" s="350"/>
    </row>
    <row r="18" spans="1:12" ht="41.25" customHeight="1">
      <c r="A18" s="347">
        <v>6</v>
      </c>
      <c r="B18" s="356" t="s">
        <v>451</v>
      </c>
      <c r="C18" s="346"/>
      <c r="D18" s="346"/>
      <c r="E18" s="346"/>
      <c r="F18" s="346"/>
      <c r="G18" s="1160">
        <f>1.1*1.1*1693*1.2*1.1*1.1797*1.1402*0.9368</f>
        <v>3407.342245096947</v>
      </c>
      <c r="H18" s="1160">
        <f>1.1*1.1*4880*1.2*1.1*1.1797*1.1402*0.9368</f>
        <v>9821.518107544658</v>
      </c>
      <c r="I18" s="1160">
        <f>1.1*1.1*7613*1.2*1.1*1.1797*1.1402*0.9368</f>
        <v>15321.970769003576</v>
      </c>
      <c r="J18" s="350"/>
      <c r="K18" s="357"/>
      <c r="L18" s="350"/>
    </row>
    <row r="19" spans="1:12" ht="13.5">
      <c r="A19" s="358">
        <v>7</v>
      </c>
      <c r="B19" s="351" t="s">
        <v>772</v>
      </c>
      <c r="C19" s="346"/>
      <c r="D19" s="346"/>
      <c r="E19" s="346"/>
      <c r="F19" s="346"/>
      <c r="G19" s="359">
        <f>G14+G15+G16+G17+G18</f>
        <v>965128.4846982545</v>
      </c>
      <c r="H19" s="359">
        <f>H14+H15+H16+H17+H18</f>
        <v>2367878.566032597</v>
      </c>
      <c r="I19" s="359">
        <f>I14+I15+I16+I17+I18</f>
        <v>3359986.278694056</v>
      </c>
      <c r="J19" s="324"/>
      <c r="K19" s="360"/>
      <c r="L19" s="350"/>
    </row>
    <row r="20" spans="1:12" ht="46.5" customHeight="1">
      <c r="A20" s="347">
        <v>8</v>
      </c>
      <c r="B20" s="1164" t="s">
        <v>773</v>
      </c>
      <c r="C20" s="346"/>
      <c r="D20" s="346"/>
      <c r="E20" s="346">
        <v>0.11</v>
      </c>
      <c r="F20" s="346"/>
      <c r="G20" s="1160">
        <f>G14*E20</f>
        <v>92524.96</v>
      </c>
      <c r="H20" s="1160">
        <f>H14*E20</f>
        <v>232424.72</v>
      </c>
      <c r="I20" s="1160">
        <f>I14*E20</f>
        <v>331183.49</v>
      </c>
      <c r="J20" s="324"/>
      <c r="K20" s="360"/>
      <c r="L20" s="350"/>
    </row>
    <row r="21" spans="1:9" ht="18" customHeight="1">
      <c r="A21" s="347">
        <v>9</v>
      </c>
      <c r="B21" s="354" t="s">
        <v>452</v>
      </c>
      <c r="C21" s="361"/>
      <c r="D21" s="362"/>
      <c r="E21" s="362"/>
      <c r="F21" s="362"/>
      <c r="G21" s="1160">
        <f>G19+G20</f>
        <v>1057653.4446982546</v>
      </c>
      <c r="H21" s="1160">
        <f>H19+H20</f>
        <v>2600303.286032597</v>
      </c>
      <c r="I21" s="1160">
        <f>I19+I20</f>
        <v>3691169.768694056</v>
      </c>
    </row>
    <row r="22" spans="1:9" ht="18" customHeight="1">
      <c r="A22" s="363">
        <v>10</v>
      </c>
      <c r="B22" s="296" t="s">
        <v>453</v>
      </c>
      <c r="C22" s="364"/>
      <c r="D22" s="365"/>
      <c r="E22" s="365"/>
      <c r="F22" s="365"/>
      <c r="G22" s="366">
        <f>ROUND(G21,0)</f>
        <v>1057653</v>
      </c>
      <c r="H22" s="366">
        <f>ROUND(H21,0)</f>
        <v>2600303</v>
      </c>
      <c r="I22" s="366">
        <f>ROUND(I21,0)</f>
        <v>3691170</v>
      </c>
    </row>
    <row r="23" spans="1:9" ht="12" customHeight="1">
      <c r="A23" s="367"/>
      <c r="B23" s="157"/>
      <c r="C23" s="157"/>
      <c r="D23" s="157"/>
      <c r="E23" s="157"/>
      <c r="F23" s="157"/>
      <c r="G23" s="368"/>
      <c r="H23" s="368"/>
      <c r="I23" s="368"/>
    </row>
    <row r="24" spans="1:12" ht="18.75" customHeight="1">
      <c r="A24" s="369" t="s">
        <v>1075</v>
      </c>
      <c r="B24" s="1401" t="s">
        <v>131</v>
      </c>
      <c r="C24" s="1402"/>
      <c r="D24" s="1402"/>
      <c r="E24" s="1402"/>
      <c r="F24" s="370"/>
      <c r="G24" s="371"/>
      <c r="H24" s="277"/>
      <c r="I24" s="372"/>
      <c r="K24" s="373"/>
      <c r="L24" s="373"/>
    </row>
    <row r="25" spans="3:14" ht="12.75" customHeight="1">
      <c r="C25" s="374"/>
      <c r="D25" s="374"/>
      <c r="E25" s="374"/>
      <c r="F25" s="374"/>
      <c r="G25" s="56"/>
      <c r="H25" s="56"/>
      <c r="I25" s="56"/>
      <c r="J25" s="56"/>
      <c r="K25" s="56"/>
      <c r="L25" s="56"/>
      <c r="M25" s="56"/>
      <c r="N25" s="56"/>
    </row>
    <row r="26" spans="1:15" ht="12.75">
      <c r="A26" s="375"/>
      <c r="B26" s="1397"/>
      <c r="C26" s="1397"/>
      <c r="D26" s="1397"/>
      <c r="E26" s="1397"/>
      <c r="F26" s="1397"/>
      <c r="G26" s="1397"/>
      <c r="H26" s="1397"/>
      <c r="I26" s="1397"/>
      <c r="J26" s="56"/>
      <c r="K26" s="56"/>
      <c r="L26" s="56"/>
      <c r="M26" s="56"/>
      <c r="N26" s="56"/>
      <c r="O26" s="56"/>
    </row>
    <row r="41" spans="1:9" ht="9.75" customHeight="1">
      <c r="A41" s="377"/>
      <c r="B41" s="377"/>
      <c r="C41" s="377"/>
      <c r="D41" s="377"/>
      <c r="E41" s="377"/>
      <c r="F41" s="377"/>
      <c r="G41" s="377"/>
      <c r="H41" s="377"/>
      <c r="I41" s="377"/>
    </row>
  </sheetData>
  <sheetProtection/>
  <mergeCells count="15">
    <mergeCell ref="C7:C8"/>
    <mergeCell ref="D7:D8"/>
    <mergeCell ref="E7:E8"/>
    <mergeCell ref="F7:F8"/>
    <mergeCell ref="G7:G8"/>
    <mergeCell ref="B26:I26"/>
    <mergeCell ref="H7:H8"/>
    <mergeCell ref="I7:I8"/>
    <mergeCell ref="A10:A13"/>
    <mergeCell ref="B24:E24"/>
    <mergeCell ref="C1:G1"/>
    <mergeCell ref="C3:F3"/>
    <mergeCell ref="C5:G5"/>
    <mergeCell ref="A7:A8"/>
    <mergeCell ref="B7:B8"/>
  </mergeCells>
  <printOptions horizontalCentered="1"/>
  <pageMargins left="0.19" right="0.15748031496063" top="0.8" bottom="0.590551181102362" header="0.511811023622047" footer="0.31496062992126"/>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sheetPr>
    <tabColor indexed="11"/>
  </sheetPr>
  <dimension ref="A1:Q125"/>
  <sheetViews>
    <sheetView zoomScalePageLayoutView="0" workbookViewId="0" topLeftCell="A1">
      <pane xSplit="5" ySplit="8" topLeftCell="F9" activePane="bottomRight" state="frozen"/>
      <selection pane="topLeft" activeCell="A1" sqref="A1"/>
      <selection pane="topRight" activeCell="F1" sqref="F1"/>
      <selection pane="bottomLeft" activeCell="A9" sqref="A9"/>
      <selection pane="bottomRight" activeCell="A1" sqref="A1"/>
    </sheetView>
  </sheetViews>
  <sheetFormatPr defaultColWidth="9.140625" defaultRowHeight="12.75"/>
  <cols>
    <col min="1" max="1" width="6.28125" style="2" customWidth="1"/>
    <col min="2" max="2" width="5.28125" style="2" customWidth="1"/>
    <col min="3" max="3" width="44.57421875" style="2" customWidth="1"/>
    <col min="4" max="4" width="12.140625" style="2" customWidth="1"/>
    <col min="5" max="5" width="5.140625" style="2" customWidth="1"/>
    <col min="6" max="6" width="12.140625" style="2" bestFit="1" customWidth="1"/>
    <col min="7" max="7" width="7.57421875" style="2" customWidth="1"/>
    <col min="8" max="10" width="14.28125" style="2" bestFit="1" customWidth="1"/>
    <col min="11" max="11" width="40.57421875" style="2" customWidth="1"/>
    <col min="12" max="12" width="17.8515625" style="2" customWidth="1"/>
    <col min="13" max="16384" width="9.140625" style="2" customWidth="1"/>
  </cols>
  <sheetData>
    <row r="1" spans="1:12" ht="18">
      <c r="A1" s="151"/>
      <c r="B1" s="151"/>
      <c r="C1" s="151"/>
      <c r="D1" s="1279" t="s">
        <v>132</v>
      </c>
      <c r="E1" s="1406"/>
      <c r="F1" s="1406"/>
      <c r="G1" s="1406"/>
      <c r="H1" s="378"/>
      <c r="I1" s="378"/>
      <c r="J1" s="378"/>
      <c r="K1" s="151"/>
      <c r="L1" s="151"/>
    </row>
    <row r="2" spans="1:12" ht="15" customHeight="1">
      <c r="A2" s="151"/>
      <c r="B2" s="151"/>
      <c r="C2" s="151"/>
      <c r="D2" s="1407" t="s">
        <v>133</v>
      </c>
      <c r="E2" s="1407"/>
      <c r="F2" s="1407"/>
      <c r="G2" s="1407"/>
      <c r="H2" s="379"/>
      <c r="I2" s="1404" t="s">
        <v>1153</v>
      </c>
      <c r="J2" s="1404"/>
      <c r="K2" s="151"/>
      <c r="L2" s="151"/>
    </row>
    <row r="3" spans="1:12" ht="35.25" customHeight="1">
      <c r="A3" s="145"/>
      <c r="B3" s="380"/>
      <c r="C3" s="1303" t="s">
        <v>134</v>
      </c>
      <c r="D3" s="1303"/>
      <c r="E3" s="1303"/>
      <c r="F3" s="1303"/>
      <c r="G3" s="1303"/>
      <c r="H3" s="1303"/>
      <c r="I3" s="378"/>
      <c r="J3" s="378"/>
      <c r="K3" s="151"/>
      <c r="L3" s="151"/>
    </row>
    <row r="4" spans="1:12" ht="12.75">
      <c r="A4" s="1408"/>
      <c r="B4" s="1408"/>
      <c r="C4" s="1408"/>
      <c r="D4" s="1408"/>
      <c r="E4" s="1408"/>
      <c r="F4" s="1408"/>
      <c r="G4" s="1408"/>
      <c r="H4" s="1408"/>
      <c r="I4" s="1408"/>
      <c r="J4" s="1408"/>
      <c r="K4" s="151"/>
      <c r="L4" s="151"/>
    </row>
    <row r="5" spans="1:12" ht="12.75">
      <c r="A5" s="1412" t="s">
        <v>1947</v>
      </c>
      <c r="B5" s="1412" t="s">
        <v>1900</v>
      </c>
      <c r="C5" s="1409" t="s">
        <v>1057</v>
      </c>
      <c r="D5" s="1410" t="s">
        <v>1331</v>
      </c>
      <c r="E5" s="1412" t="s">
        <v>1058</v>
      </c>
      <c r="F5" s="1412" t="s">
        <v>1018</v>
      </c>
      <c r="G5" s="1412" t="s">
        <v>1060</v>
      </c>
      <c r="H5" s="1412" t="s">
        <v>135</v>
      </c>
      <c r="I5" s="1412"/>
      <c r="J5" s="1412"/>
      <c r="K5" s="382"/>
      <c r="L5" s="151"/>
    </row>
    <row r="6" spans="1:12" ht="12.75">
      <c r="A6" s="1412"/>
      <c r="B6" s="1412"/>
      <c r="C6" s="1409"/>
      <c r="D6" s="1411"/>
      <c r="E6" s="1412"/>
      <c r="F6" s="1412"/>
      <c r="G6" s="1412"/>
      <c r="H6" s="283" t="s">
        <v>136</v>
      </c>
      <c r="I6" s="283" t="s">
        <v>137</v>
      </c>
      <c r="J6" s="283" t="s">
        <v>138</v>
      </c>
      <c r="K6" s="382"/>
      <c r="L6" s="151"/>
    </row>
    <row r="7" spans="1:12" ht="12.75">
      <c r="A7" s="284">
        <v>1</v>
      </c>
      <c r="B7" s="1413">
        <v>2</v>
      </c>
      <c r="C7" s="1414"/>
      <c r="D7" s="284">
        <v>3</v>
      </c>
      <c r="E7" s="284">
        <v>4</v>
      </c>
      <c r="F7" s="284">
        <v>5</v>
      </c>
      <c r="G7" s="284">
        <v>6</v>
      </c>
      <c r="H7" s="284">
        <v>7</v>
      </c>
      <c r="I7" s="284">
        <v>8</v>
      </c>
      <c r="J7" s="284">
        <v>9</v>
      </c>
      <c r="K7" s="382"/>
      <c r="L7" s="151"/>
    </row>
    <row r="8" spans="1:12" ht="12.75">
      <c r="A8" s="1415">
        <v>1</v>
      </c>
      <c r="B8" s="384"/>
      <c r="C8" s="385" t="s">
        <v>1710</v>
      </c>
      <c r="D8" s="386"/>
      <c r="E8" s="386"/>
      <c r="F8" s="386"/>
      <c r="G8" s="386"/>
      <c r="H8" s="386"/>
      <c r="I8" s="386"/>
      <c r="J8" s="387"/>
      <c r="K8" s="382"/>
      <c r="L8" s="151"/>
    </row>
    <row r="9" spans="1:12" ht="12.75">
      <c r="A9" s="1416"/>
      <c r="B9" s="1418" t="s">
        <v>1048</v>
      </c>
      <c r="C9" s="390" t="s">
        <v>139</v>
      </c>
      <c r="D9" s="391"/>
      <c r="E9" s="392"/>
      <c r="F9" s="392"/>
      <c r="G9" s="392"/>
      <c r="H9" s="392"/>
      <c r="I9" s="392"/>
      <c r="J9" s="393"/>
      <c r="K9" s="382"/>
      <c r="L9" s="151"/>
    </row>
    <row r="10" spans="1:12" ht="12.75">
      <c r="A10" s="1416"/>
      <c r="B10" s="1418"/>
      <c r="C10" s="394" t="s">
        <v>140</v>
      </c>
      <c r="D10" s="395">
        <v>7132220091</v>
      </c>
      <c r="E10" s="279" t="s">
        <v>1061</v>
      </c>
      <c r="F10" s="280">
        <f>VLOOKUP(D10,'SOR RATE'!A:D,4,0)</f>
        <v>841136</v>
      </c>
      <c r="G10" s="279">
        <v>1</v>
      </c>
      <c r="H10" s="280">
        <f>F10*G10</f>
        <v>841136</v>
      </c>
      <c r="I10" s="280"/>
      <c r="J10" s="280"/>
      <c r="K10" s="382"/>
      <c r="L10" s="151"/>
    </row>
    <row r="11" spans="1:12" ht="12.75">
      <c r="A11" s="1416"/>
      <c r="B11" s="1418"/>
      <c r="C11" s="394" t="s">
        <v>141</v>
      </c>
      <c r="D11" s="395">
        <v>7132220095</v>
      </c>
      <c r="E11" s="279" t="s">
        <v>1061</v>
      </c>
      <c r="F11" s="280">
        <f>VLOOKUP(D11,'SOR RATE'!A:D,4,0)</f>
        <v>2112952</v>
      </c>
      <c r="G11" s="279">
        <v>1</v>
      </c>
      <c r="H11" s="280"/>
      <c r="I11" s="280">
        <f>F11*G11</f>
        <v>2112952</v>
      </c>
      <c r="J11" s="280"/>
      <c r="K11" s="382"/>
      <c r="L11" s="151"/>
    </row>
    <row r="12" spans="1:12" ht="12.75">
      <c r="A12" s="1416"/>
      <c r="B12" s="1418"/>
      <c r="C12" s="394" t="s">
        <v>142</v>
      </c>
      <c r="D12" s="395">
        <v>7132220097</v>
      </c>
      <c r="E12" s="279" t="s">
        <v>1061</v>
      </c>
      <c r="F12" s="280">
        <f>VLOOKUP(D12,'SOR RATE'!A:D,4,0)</f>
        <v>3010759</v>
      </c>
      <c r="G12" s="279">
        <v>1</v>
      </c>
      <c r="H12" s="280"/>
      <c r="I12" s="280"/>
      <c r="J12" s="280">
        <f>F12*G12</f>
        <v>3010759</v>
      </c>
      <c r="K12" s="382"/>
      <c r="L12" s="151"/>
    </row>
    <row r="13" spans="1:12" ht="12.75">
      <c r="A13" s="1416"/>
      <c r="B13" s="1418" t="s">
        <v>1072</v>
      </c>
      <c r="C13" s="396" t="s">
        <v>143</v>
      </c>
      <c r="D13" s="395"/>
      <c r="E13" s="279" t="s">
        <v>1061</v>
      </c>
      <c r="F13" s="287">
        <f>I14+I15+I16</f>
        <v>317003</v>
      </c>
      <c r="G13" s="279"/>
      <c r="H13" s="280"/>
      <c r="I13" s="280"/>
      <c r="J13" s="280"/>
      <c r="K13" s="382"/>
      <c r="L13" s="151"/>
    </row>
    <row r="14" spans="1:10" ht="12.75">
      <c r="A14" s="1416"/>
      <c r="B14" s="1418"/>
      <c r="C14" s="286" t="s">
        <v>144</v>
      </c>
      <c r="D14" s="395">
        <v>7131943380</v>
      </c>
      <c r="E14" s="279" t="s">
        <v>1061</v>
      </c>
      <c r="F14" s="280">
        <f>VLOOKUP(D14,'SOR RATE'!A:D,4,0)</f>
        <v>226584</v>
      </c>
      <c r="G14" s="279">
        <v>1</v>
      </c>
      <c r="H14" s="280"/>
      <c r="I14" s="280">
        <f>+F14</f>
        <v>226584</v>
      </c>
      <c r="J14" s="280">
        <f>+I14</f>
        <v>226584</v>
      </c>
    </row>
    <row r="15" spans="1:11" ht="14.25">
      <c r="A15" s="1416"/>
      <c r="B15" s="1418"/>
      <c r="C15" s="286" t="s">
        <v>145</v>
      </c>
      <c r="D15" s="395">
        <v>7131960524</v>
      </c>
      <c r="E15" s="279" t="s">
        <v>1061</v>
      </c>
      <c r="F15" s="280">
        <f>VLOOKUP(D15,'SOR RATE'!A:D,4,0)</f>
        <v>39815</v>
      </c>
      <c r="G15" s="279">
        <v>1</v>
      </c>
      <c r="H15" s="280"/>
      <c r="I15" s="280">
        <f>+F15</f>
        <v>39815</v>
      </c>
      <c r="J15" s="280">
        <f>+I15</f>
        <v>39815</v>
      </c>
      <c r="K15" s="694"/>
    </row>
    <row r="16" spans="1:10" ht="12.75">
      <c r="A16" s="1416"/>
      <c r="B16" s="1418"/>
      <c r="C16" s="286" t="s">
        <v>146</v>
      </c>
      <c r="D16" s="395">
        <v>7132230265</v>
      </c>
      <c r="E16" s="279" t="s">
        <v>1061</v>
      </c>
      <c r="F16" s="280">
        <f>VLOOKUP(D16,'SOR RATE'!A:D,4,0)</f>
        <v>16868</v>
      </c>
      <c r="G16" s="279">
        <v>3</v>
      </c>
      <c r="H16" s="280"/>
      <c r="I16" s="280">
        <f>G16*F16</f>
        <v>50604</v>
      </c>
      <c r="J16" s="280">
        <f>+I16</f>
        <v>50604</v>
      </c>
    </row>
    <row r="17" spans="1:10" ht="15" customHeight="1">
      <c r="A17" s="1416"/>
      <c r="B17" s="1418" t="s">
        <v>1693</v>
      </c>
      <c r="C17" s="397" t="s">
        <v>147</v>
      </c>
      <c r="D17" s="398"/>
      <c r="E17" s="270" t="s">
        <v>1061</v>
      </c>
      <c r="F17" s="285">
        <f>H18+H19+H20</f>
        <v>177261</v>
      </c>
      <c r="G17" s="270">
        <v>1</v>
      </c>
      <c r="H17" s="271"/>
      <c r="I17" s="280"/>
      <c r="J17" s="280"/>
    </row>
    <row r="18" spans="1:10" ht="12.75">
      <c r="A18" s="1416"/>
      <c r="B18" s="1418"/>
      <c r="C18" s="286" t="s">
        <v>148</v>
      </c>
      <c r="D18" s="395">
        <v>7131941762</v>
      </c>
      <c r="E18" s="270" t="s">
        <v>1130</v>
      </c>
      <c r="F18" s="280">
        <f>VLOOKUP(D18,'SOR RATE'!A:D,4,0)</f>
        <v>110737</v>
      </c>
      <c r="G18" s="279">
        <v>1</v>
      </c>
      <c r="H18" s="280">
        <f>G18*F18</f>
        <v>110737</v>
      </c>
      <c r="I18" s="280">
        <f aca="true" t="shared" si="0" ref="I18:J20">+H18</f>
        <v>110737</v>
      </c>
      <c r="J18" s="280">
        <f t="shared" si="0"/>
        <v>110737</v>
      </c>
    </row>
    <row r="19" spans="1:11" ht="12.75">
      <c r="A19" s="1416"/>
      <c r="B19" s="1418"/>
      <c r="C19" s="286" t="s">
        <v>149</v>
      </c>
      <c r="D19" s="395">
        <v>7131960522</v>
      </c>
      <c r="E19" s="270" t="s">
        <v>1130</v>
      </c>
      <c r="F19" s="280">
        <f>VLOOKUP(D19,'SOR RATE'!A:D,4,0)</f>
        <v>39815</v>
      </c>
      <c r="G19" s="279">
        <v>1</v>
      </c>
      <c r="H19" s="280">
        <f>G19*F19</f>
        <v>39815</v>
      </c>
      <c r="I19" s="280">
        <f t="shared" si="0"/>
        <v>39815</v>
      </c>
      <c r="J19" s="280">
        <f t="shared" si="0"/>
        <v>39815</v>
      </c>
      <c r="K19" s="105"/>
    </row>
    <row r="20" spans="1:10" ht="12.75">
      <c r="A20" s="1416"/>
      <c r="B20" s="1418"/>
      <c r="C20" s="286" t="s">
        <v>150</v>
      </c>
      <c r="D20" s="395">
        <v>7132230188</v>
      </c>
      <c r="E20" s="270" t="s">
        <v>1130</v>
      </c>
      <c r="F20" s="280">
        <f>VLOOKUP(D20,'SOR RATE'!A:D,4,0)</f>
        <v>8903</v>
      </c>
      <c r="G20" s="279">
        <v>3</v>
      </c>
      <c r="H20" s="280">
        <f>G20*F20</f>
        <v>26709</v>
      </c>
      <c r="I20" s="280">
        <f t="shared" si="0"/>
        <v>26709</v>
      </c>
      <c r="J20" s="280">
        <f t="shared" si="0"/>
        <v>26709</v>
      </c>
    </row>
    <row r="21" spans="1:10" ht="15.75" customHeight="1">
      <c r="A21" s="1416"/>
      <c r="B21" s="1418" t="s">
        <v>1695</v>
      </c>
      <c r="C21" s="397" t="s">
        <v>151</v>
      </c>
      <c r="D21" s="398"/>
      <c r="E21" s="270" t="s">
        <v>1061</v>
      </c>
      <c r="F21" s="285">
        <f>H22+H23+H24</f>
        <v>163777</v>
      </c>
      <c r="G21" s="270">
        <v>1</v>
      </c>
      <c r="H21" s="280"/>
      <c r="I21" s="280"/>
      <c r="J21" s="280"/>
    </row>
    <row r="22" spans="1:10" ht="12.75">
      <c r="A22" s="1416"/>
      <c r="B22" s="1418"/>
      <c r="C22" s="286" t="s">
        <v>148</v>
      </c>
      <c r="D22" s="395">
        <v>7131941762</v>
      </c>
      <c r="E22" s="270" t="s">
        <v>1061</v>
      </c>
      <c r="F22" s="280">
        <f>VLOOKUP(D22,'SOR RATE'!A:D,4,0)</f>
        <v>110737</v>
      </c>
      <c r="G22" s="279">
        <v>1</v>
      </c>
      <c r="H22" s="280">
        <f aca="true" t="shared" si="1" ref="H22:H29">G22*F22</f>
        <v>110737</v>
      </c>
      <c r="I22" s="280">
        <f>G22*F22</f>
        <v>110737</v>
      </c>
      <c r="J22" s="280">
        <f>G22*F22</f>
        <v>110737</v>
      </c>
    </row>
    <row r="23" spans="1:11" ht="12.75">
      <c r="A23" s="1416"/>
      <c r="B23" s="1418"/>
      <c r="C23" s="286" t="s">
        <v>152</v>
      </c>
      <c r="D23" s="395">
        <v>7131960008</v>
      </c>
      <c r="E23" s="270" t="s">
        <v>1130</v>
      </c>
      <c r="F23" s="280">
        <f>VLOOKUP(D23,'SOR RATE'!A:D,4,0)</f>
        <v>26331</v>
      </c>
      <c r="G23" s="279">
        <v>1</v>
      </c>
      <c r="H23" s="280">
        <f t="shared" si="1"/>
        <v>26331</v>
      </c>
      <c r="I23" s="280">
        <f>G23*F23</f>
        <v>26331</v>
      </c>
      <c r="J23" s="280">
        <f>G23*F23</f>
        <v>26331</v>
      </c>
      <c r="K23" s="105"/>
    </row>
    <row r="24" spans="1:10" ht="12.75">
      <c r="A24" s="1416"/>
      <c r="B24" s="1418"/>
      <c r="C24" s="254" t="s">
        <v>154</v>
      </c>
      <c r="D24" s="395">
        <v>7132230185</v>
      </c>
      <c r="E24" s="270" t="s">
        <v>1061</v>
      </c>
      <c r="F24" s="280">
        <f>VLOOKUP(D24,'SOR RATE'!A:D,4,0)</f>
        <v>8903</v>
      </c>
      <c r="G24" s="279">
        <v>3</v>
      </c>
      <c r="H24" s="280">
        <f t="shared" si="1"/>
        <v>26709</v>
      </c>
      <c r="I24" s="280">
        <f>F24*G24</f>
        <v>26709</v>
      </c>
      <c r="J24" s="280">
        <f>F24*G24</f>
        <v>26709</v>
      </c>
    </row>
    <row r="25" spans="1:10" ht="12.75">
      <c r="A25" s="1416"/>
      <c r="B25" s="399" t="s">
        <v>1697</v>
      </c>
      <c r="C25" s="286" t="s">
        <v>155</v>
      </c>
      <c r="D25" s="395">
        <v>7131930415</v>
      </c>
      <c r="E25" s="270" t="s">
        <v>1130</v>
      </c>
      <c r="F25" s="280">
        <f>VLOOKUP(D25,'SOR RATE'!A:D,4,0)</f>
        <v>2918</v>
      </c>
      <c r="G25" s="279">
        <v>3</v>
      </c>
      <c r="H25" s="280">
        <f t="shared" si="1"/>
        <v>8754</v>
      </c>
      <c r="I25" s="280"/>
      <c r="J25" s="280"/>
    </row>
    <row r="26" spans="1:10" ht="12.75">
      <c r="A26" s="1416"/>
      <c r="B26" s="400" t="s">
        <v>1699</v>
      </c>
      <c r="C26" s="281" t="s">
        <v>156</v>
      </c>
      <c r="D26" s="398">
        <v>7131930752</v>
      </c>
      <c r="E26" s="270" t="s">
        <v>1061</v>
      </c>
      <c r="F26" s="280">
        <f>VLOOKUP(D26,'SOR RATE'!A:D,4,0)</f>
        <v>35789</v>
      </c>
      <c r="G26" s="270">
        <v>2</v>
      </c>
      <c r="H26" s="271">
        <f t="shared" si="1"/>
        <v>71578</v>
      </c>
      <c r="I26" s="271">
        <f>G26*F26</f>
        <v>71578</v>
      </c>
      <c r="J26" s="271">
        <f>G26*F26</f>
        <v>71578</v>
      </c>
    </row>
    <row r="27" spans="1:10" ht="12.75">
      <c r="A27" s="1416"/>
      <c r="B27" s="399" t="s">
        <v>1700</v>
      </c>
      <c r="C27" s="286" t="s">
        <v>157</v>
      </c>
      <c r="D27" s="395">
        <v>7131930663</v>
      </c>
      <c r="E27" s="279" t="s">
        <v>1061</v>
      </c>
      <c r="F27" s="280">
        <f>VLOOKUP(D27,'SOR RATE'!A:D,4,0)</f>
        <v>20680</v>
      </c>
      <c r="G27" s="279">
        <v>5</v>
      </c>
      <c r="H27" s="280">
        <f t="shared" si="1"/>
        <v>103400</v>
      </c>
      <c r="I27" s="280">
        <f>G27*F27</f>
        <v>103400</v>
      </c>
      <c r="J27" s="280">
        <f>G27*F27</f>
        <v>103400</v>
      </c>
    </row>
    <row r="28" spans="1:10" ht="12.75">
      <c r="A28" s="1416"/>
      <c r="B28" s="399" t="s">
        <v>1703</v>
      </c>
      <c r="C28" s="286" t="s">
        <v>960</v>
      </c>
      <c r="D28" s="395">
        <v>7130840021</v>
      </c>
      <c r="E28" s="279" t="s">
        <v>1130</v>
      </c>
      <c r="F28" s="280">
        <f>VLOOKUP(D28,'SOR RATE'!A:D,4,0)</f>
        <v>3483</v>
      </c>
      <c r="G28" s="279">
        <v>3</v>
      </c>
      <c r="H28" s="280">
        <f t="shared" si="1"/>
        <v>10449</v>
      </c>
      <c r="I28" s="280">
        <f>G28*F28</f>
        <v>10449</v>
      </c>
      <c r="J28" s="280">
        <f>G28*F28</f>
        <v>10449</v>
      </c>
    </row>
    <row r="29" spans="1:10" ht="12.75">
      <c r="A29" s="1416"/>
      <c r="B29" s="399" t="s">
        <v>1705</v>
      </c>
      <c r="C29" s="286" t="s">
        <v>961</v>
      </c>
      <c r="D29" s="395">
        <v>7130840029</v>
      </c>
      <c r="E29" s="279" t="s">
        <v>1130</v>
      </c>
      <c r="F29" s="280">
        <f>VLOOKUP(D29,'SOR RATE'!A:D,4,0)</f>
        <v>425</v>
      </c>
      <c r="G29" s="279">
        <v>9</v>
      </c>
      <c r="H29" s="280">
        <f t="shared" si="1"/>
        <v>3825</v>
      </c>
      <c r="I29" s="280">
        <f>G29*F29</f>
        <v>3825</v>
      </c>
      <c r="J29" s="280">
        <f>G29*F29</f>
        <v>3825</v>
      </c>
    </row>
    <row r="30" spans="1:17" ht="12.75">
      <c r="A30" s="1416"/>
      <c r="B30" s="399" t="s">
        <v>1707</v>
      </c>
      <c r="C30" s="401" t="s">
        <v>158</v>
      </c>
      <c r="D30" s="395"/>
      <c r="E30" s="279" t="s">
        <v>1061</v>
      </c>
      <c r="F30" s="287">
        <f>+H31</f>
        <v>15880</v>
      </c>
      <c r="G30" s="279"/>
      <c r="H30" s="280"/>
      <c r="I30" s="280"/>
      <c r="J30" s="280"/>
      <c r="L30" s="1225"/>
      <c r="M30" s="1225"/>
      <c r="N30" s="1225"/>
      <c r="O30" s="1225"/>
      <c r="P30" s="1225"/>
      <c r="Q30" s="145"/>
    </row>
    <row r="31" spans="1:10" ht="15.75" customHeight="1">
      <c r="A31" s="1416"/>
      <c r="B31" s="399"/>
      <c r="C31" s="278" t="s">
        <v>1542</v>
      </c>
      <c r="D31" s="402">
        <v>7131310033</v>
      </c>
      <c r="E31" s="270" t="s">
        <v>1061</v>
      </c>
      <c r="F31" s="271">
        <f>VLOOKUP(D31,'SOR RATE'!A:D,4,0)</f>
        <v>3970</v>
      </c>
      <c r="G31" s="270">
        <v>4</v>
      </c>
      <c r="H31" s="271">
        <f aca="true" t="shared" si="2" ref="H31:H37">G31*F31</f>
        <v>15880</v>
      </c>
      <c r="I31" s="271">
        <f aca="true" t="shared" si="3" ref="I31:I37">G31*F31</f>
        <v>15880</v>
      </c>
      <c r="J31" s="271">
        <f aca="true" t="shared" si="4" ref="J31:J37">G31*F31</f>
        <v>15880</v>
      </c>
    </row>
    <row r="32" spans="1:11" ht="12.75">
      <c r="A32" s="1416"/>
      <c r="B32" s="399" t="s">
        <v>1525</v>
      </c>
      <c r="C32" s="286" t="s">
        <v>2140</v>
      </c>
      <c r="D32" s="395">
        <v>7132230057</v>
      </c>
      <c r="E32" s="279" t="s">
        <v>1130</v>
      </c>
      <c r="F32" s="280">
        <f>VLOOKUP(D32,'SOR RATE'!A:D,4,0)</f>
        <v>16371</v>
      </c>
      <c r="G32" s="279">
        <v>3</v>
      </c>
      <c r="H32" s="280">
        <f t="shared" si="2"/>
        <v>49113</v>
      </c>
      <c r="I32" s="280">
        <f t="shared" si="3"/>
        <v>49113</v>
      </c>
      <c r="J32" s="280">
        <f t="shared" si="4"/>
        <v>49113</v>
      </c>
      <c r="K32" s="2" t="s">
        <v>308</v>
      </c>
    </row>
    <row r="33" spans="1:11" ht="12.75">
      <c r="A33" s="1416"/>
      <c r="B33" s="399" t="s">
        <v>1526</v>
      </c>
      <c r="C33" s="286" t="s">
        <v>2141</v>
      </c>
      <c r="D33" s="395">
        <v>7132230056</v>
      </c>
      <c r="E33" s="279" t="s">
        <v>1130</v>
      </c>
      <c r="F33" s="280">
        <f>VLOOKUP(D33,'SOR RATE'!A:D,4,0)</f>
        <v>8903</v>
      </c>
      <c r="G33" s="279">
        <v>6</v>
      </c>
      <c r="H33" s="280">
        <f t="shared" si="2"/>
        <v>53418</v>
      </c>
      <c r="I33" s="280">
        <f t="shared" si="3"/>
        <v>53418</v>
      </c>
      <c r="J33" s="280">
        <f t="shared" si="4"/>
        <v>53418</v>
      </c>
      <c r="K33" s="2" t="s">
        <v>307</v>
      </c>
    </row>
    <row r="34" spans="1:12" ht="15">
      <c r="A34" s="1416"/>
      <c r="B34" s="399" t="s">
        <v>1528</v>
      </c>
      <c r="C34" s="278" t="s">
        <v>1531</v>
      </c>
      <c r="D34" s="395">
        <v>7132230427</v>
      </c>
      <c r="E34" s="279" t="s">
        <v>1130</v>
      </c>
      <c r="F34" s="280">
        <f>VLOOKUP(D34,'SOR RATE'!A:D,4,0)</f>
        <v>64587</v>
      </c>
      <c r="G34" s="279">
        <v>1</v>
      </c>
      <c r="H34" s="280">
        <f t="shared" si="2"/>
        <v>64587</v>
      </c>
      <c r="I34" s="280">
        <f t="shared" si="3"/>
        <v>64587</v>
      </c>
      <c r="J34" s="280">
        <f t="shared" si="4"/>
        <v>64587</v>
      </c>
      <c r="L34" s="403"/>
    </row>
    <row r="35" spans="1:12" ht="15">
      <c r="A35" s="1416"/>
      <c r="B35" s="399" t="s">
        <v>1530</v>
      </c>
      <c r="C35" s="278" t="s">
        <v>1533</v>
      </c>
      <c r="D35" s="404">
        <v>7132230412</v>
      </c>
      <c r="E35" s="279" t="s">
        <v>1130</v>
      </c>
      <c r="F35" s="280">
        <f>VLOOKUP(D35,'SOR RATE'!A:D,4,0)</f>
        <v>29949</v>
      </c>
      <c r="G35" s="279">
        <v>2</v>
      </c>
      <c r="H35" s="280">
        <f t="shared" si="2"/>
        <v>59898</v>
      </c>
      <c r="I35" s="280">
        <f t="shared" si="3"/>
        <v>59898</v>
      </c>
      <c r="J35" s="280">
        <f t="shared" si="4"/>
        <v>59898</v>
      </c>
      <c r="L35" s="403"/>
    </row>
    <row r="36" spans="1:10" ht="12.75">
      <c r="A36" s="1416"/>
      <c r="B36" s="399" t="s">
        <v>1532</v>
      </c>
      <c r="C36" s="286" t="s">
        <v>159</v>
      </c>
      <c r="D36" s="395">
        <v>7131930321</v>
      </c>
      <c r="E36" s="279" t="s">
        <v>1130</v>
      </c>
      <c r="F36" s="280">
        <f>VLOOKUP(D36,'SOR RATE'!A:D,4,0)</f>
        <v>18624</v>
      </c>
      <c r="G36" s="279">
        <v>1</v>
      </c>
      <c r="H36" s="280">
        <f t="shared" si="2"/>
        <v>18624</v>
      </c>
      <c r="I36" s="280">
        <f t="shared" si="3"/>
        <v>18624</v>
      </c>
      <c r="J36" s="280">
        <f t="shared" si="4"/>
        <v>18624</v>
      </c>
    </row>
    <row r="37" spans="1:11" ht="14.25">
      <c r="A37" s="1417"/>
      <c r="B37" s="399" t="s">
        <v>1534</v>
      </c>
      <c r="C37" s="278" t="s">
        <v>1571</v>
      </c>
      <c r="D37" s="395">
        <v>7130352046</v>
      </c>
      <c r="E37" s="1026" t="s">
        <v>1023</v>
      </c>
      <c r="F37" s="280">
        <f>VLOOKUP(D37,'SOR RATE'!A:D,4,0)</f>
        <v>3096</v>
      </c>
      <c r="G37" s="279">
        <v>6</v>
      </c>
      <c r="H37" s="280">
        <f t="shared" si="2"/>
        <v>18576</v>
      </c>
      <c r="I37" s="280">
        <f t="shared" si="3"/>
        <v>18576</v>
      </c>
      <c r="J37" s="280">
        <f t="shared" si="4"/>
        <v>18576</v>
      </c>
      <c r="K37" s="144"/>
    </row>
    <row r="38" spans="1:10" ht="12.75">
      <c r="A38" s="1419">
        <v>2</v>
      </c>
      <c r="B38" s="384"/>
      <c r="C38" s="405" t="s">
        <v>160</v>
      </c>
      <c r="D38" s="391"/>
      <c r="E38" s="392"/>
      <c r="F38" s="392"/>
      <c r="G38" s="392"/>
      <c r="H38" s="392"/>
      <c r="I38" s="392"/>
      <c r="J38" s="393"/>
    </row>
    <row r="39" spans="1:11" ht="51">
      <c r="A39" s="1420"/>
      <c r="B39" s="406" t="s">
        <v>1582</v>
      </c>
      <c r="C39" s="407" t="s">
        <v>161</v>
      </c>
      <c r="D39" s="408">
        <v>7130601958</v>
      </c>
      <c r="E39" s="408" t="s">
        <v>1070</v>
      </c>
      <c r="F39" s="271">
        <f>VLOOKUP(D39,'SOR RATE'!A:D,4,0)/1000</f>
        <v>44.989</v>
      </c>
      <c r="G39" s="271">
        <v>1038.8</v>
      </c>
      <c r="H39" s="410">
        <f>G39*F39</f>
        <v>46734.57319999999</v>
      </c>
      <c r="I39" s="271">
        <f>G39*F39</f>
        <v>46734.57319999999</v>
      </c>
      <c r="J39" s="271">
        <f>G39*F39</f>
        <v>46734.57319999999</v>
      </c>
      <c r="K39" s="191"/>
    </row>
    <row r="40" spans="1:11" ht="27.75" customHeight="1">
      <c r="A40" s="1420"/>
      <c r="B40" s="1422" t="s">
        <v>998</v>
      </c>
      <c r="C40" s="411" t="s">
        <v>162</v>
      </c>
      <c r="D40" s="412"/>
      <c r="E40" s="282" t="s">
        <v>1022</v>
      </c>
      <c r="F40" s="147">
        <f>H41+H42</f>
        <v>121066.9408</v>
      </c>
      <c r="G40" s="282">
        <v>1</v>
      </c>
      <c r="H40" s="410"/>
      <c r="I40" s="271"/>
      <c r="J40" s="271"/>
      <c r="K40" s="145"/>
    </row>
    <row r="41" spans="1:11" ht="27.75" customHeight="1">
      <c r="A41" s="1420"/>
      <c r="B41" s="1423"/>
      <c r="C41" s="413" t="s">
        <v>1879</v>
      </c>
      <c r="D41" s="408">
        <v>7130601958</v>
      </c>
      <c r="E41" s="282" t="s">
        <v>1070</v>
      </c>
      <c r="F41" s="271">
        <f>VLOOKUP(D41,'SOR RATE'!A:D,4,0)/1000</f>
        <v>44.989</v>
      </c>
      <c r="G41" s="260">
        <v>1187.2</v>
      </c>
      <c r="H41" s="410">
        <f>G41*F41</f>
        <v>53410.9408</v>
      </c>
      <c r="I41" s="271">
        <f>G41*F41</f>
        <v>53410.9408</v>
      </c>
      <c r="J41" s="271">
        <f>G41*F41</f>
        <v>53410.9408</v>
      </c>
      <c r="K41" s="145"/>
    </row>
    <row r="42" spans="1:11" ht="15.75" customHeight="1">
      <c r="A42" s="1420"/>
      <c r="B42" s="1424"/>
      <c r="C42" s="407" t="s">
        <v>1880</v>
      </c>
      <c r="D42" s="408">
        <v>7130810684</v>
      </c>
      <c r="E42" s="282" t="s">
        <v>1061</v>
      </c>
      <c r="F42" s="271">
        <f>VLOOKUP(D42,'SOR RATE'!A:D,4,0)</f>
        <v>8457</v>
      </c>
      <c r="G42" s="282">
        <v>8</v>
      </c>
      <c r="H42" s="410">
        <f>G42*F42</f>
        <v>67656</v>
      </c>
      <c r="I42" s="271">
        <f>G42*F42</f>
        <v>67656</v>
      </c>
      <c r="J42" s="271">
        <f>G42*F42</f>
        <v>67656</v>
      </c>
      <c r="K42" s="145"/>
    </row>
    <row r="43" spans="1:12" ht="40.5" customHeight="1">
      <c r="A43" s="1420"/>
      <c r="B43" s="1422" t="s">
        <v>1000</v>
      </c>
      <c r="C43" s="411" t="s">
        <v>1996</v>
      </c>
      <c r="D43" s="408"/>
      <c r="E43" s="282" t="s">
        <v>1022</v>
      </c>
      <c r="F43" s="147">
        <f>H44+H46</f>
        <v>154894.94079999998</v>
      </c>
      <c r="G43" s="282">
        <v>1</v>
      </c>
      <c r="H43" s="410"/>
      <c r="I43" s="271"/>
      <c r="J43" s="271"/>
      <c r="K43" s="415"/>
      <c r="L43" s="415"/>
    </row>
    <row r="44" spans="1:12" ht="25.5">
      <c r="A44" s="1420"/>
      <c r="B44" s="1423"/>
      <c r="C44" s="407" t="s">
        <v>1997</v>
      </c>
      <c r="D44" s="408">
        <v>7130601958</v>
      </c>
      <c r="E44" s="282" t="s">
        <v>1070</v>
      </c>
      <c r="F44" s="271">
        <f>VLOOKUP(D44,'SOR RATE'!A:D,4,0)/1000</f>
        <v>44.989</v>
      </c>
      <c r="G44" s="260">
        <v>1187.2</v>
      </c>
      <c r="H44" s="410">
        <f aca="true" t="shared" si="5" ref="H44:H53">G44*F44</f>
        <v>53410.9408</v>
      </c>
      <c r="I44" s="271">
        <f aca="true" t="shared" si="6" ref="I44:I53">G44*F44</f>
        <v>53410.9408</v>
      </c>
      <c r="J44" s="271">
        <f aca="true" t="shared" si="7" ref="J44:J53">G44*F44</f>
        <v>53410.9408</v>
      </c>
      <c r="K44" s="415"/>
      <c r="L44" s="415"/>
    </row>
    <row r="45" spans="1:12" ht="25.5">
      <c r="A45" s="1420"/>
      <c r="B45" s="1423"/>
      <c r="C45" s="413" t="s">
        <v>1998</v>
      </c>
      <c r="D45" s="408">
        <v>7130601958</v>
      </c>
      <c r="E45" s="282" t="s">
        <v>1070</v>
      </c>
      <c r="F45" s="271">
        <f>VLOOKUP(D45,'SOR RATE'!A:D,4,0)/1000</f>
        <v>44.989</v>
      </c>
      <c r="G45" s="260">
        <v>1632.4</v>
      </c>
      <c r="H45" s="410">
        <f t="shared" si="5"/>
        <v>73440.0436</v>
      </c>
      <c r="I45" s="271">
        <f>G45*F45</f>
        <v>73440.0436</v>
      </c>
      <c r="J45" s="271">
        <f>G45*F45</f>
        <v>73440.0436</v>
      </c>
      <c r="K45" s="145"/>
      <c r="L45" s="145"/>
    </row>
    <row r="46" spans="1:12" ht="18" customHeight="1">
      <c r="A46" s="1420"/>
      <c r="B46" s="1423"/>
      <c r="C46" s="407" t="s">
        <v>1999</v>
      </c>
      <c r="D46" s="408">
        <v>7130810684</v>
      </c>
      <c r="E46" s="282" t="s">
        <v>1061</v>
      </c>
      <c r="F46" s="271">
        <f>VLOOKUP(D46,'SOR RATE'!A:D,4,0)</f>
        <v>8457</v>
      </c>
      <c r="G46" s="282">
        <v>12</v>
      </c>
      <c r="H46" s="410">
        <f t="shared" si="5"/>
        <v>101484</v>
      </c>
      <c r="I46" s="271">
        <f t="shared" si="6"/>
        <v>101484</v>
      </c>
      <c r="J46" s="271">
        <f t="shared" si="7"/>
        <v>101484</v>
      </c>
      <c r="K46" s="415"/>
      <c r="L46" s="415"/>
    </row>
    <row r="47" spans="1:12" ht="12.75">
      <c r="A47" s="1420"/>
      <c r="B47" s="1424"/>
      <c r="C47" s="274" t="s">
        <v>2000</v>
      </c>
      <c r="D47" s="255">
        <v>7130810517</v>
      </c>
      <c r="E47" s="282" t="s">
        <v>1061</v>
      </c>
      <c r="F47" s="271">
        <f>VLOOKUP(D47,'SOR RATE'!A:D,4,0)</f>
        <v>4547</v>
      </c>
      <c r="G47" s="282">
        <v>7</v>
      </c>
      <c r="H47" s="410">
        <f t="shared" si="5"/>
        <v>31829</v>
      </c>
      <c r="I47" s="271">
        <f t="shared" si="6"/>
        <v>31829</v>
      </c>
      <c r="J47" s="271">
        <f t="shared" si="7"/>
        <v>31829</v>
      </c>
      <c r="K47" s="145"/>
      <c r="L47" s="150"/>
    </row>
    <row r="48" spans="1:12" ht="15.75" customHeight="1">
      <c r="A48" s="1420"/>
      <c r="B48" s="416" t="s">
        <v>1002</v>
      </c>
      <c r="C48" s="250" t="s">
        <v>1569</v>
      </c>
      <c r="D48" s="255">
        <v>7130601072</v>
      </c>
      <c r="E48" s="251" t="s">
        <v>1070</v>
      </c>
      <c r="F48" s="271">
        <f>VLOOKUP(D48,'SOR RATE'!A:D,4,0)/1000</f>
        <v>47.741</v>
      </c>
      <c r="G48" s="282">
        <v>300</v>
      </c>
      <c r="H48" s="410">
        <f t="shared" si="5"/>
        <v>14322.3</v>
      </c>
      <c r="I48" s="271">
        <f t="shared" si="6"/>
        <v>14322.3</v>
      </c>
      <c r="J48" s="271">
        <f t="shared" si="7"/>
        <v>14322.3</v>
      </c>
      <c r="K48" s="145"/>
      <c r="L48" s="145"/>
    </row>
    <row r="49" spans="1:12" ht="15.75" customHeight="1">
      <c r="A49" s="1420"/>
      <c r="B49" s="399" t="s">
        <v>1004</v>
      </c>
      <c r="C49" s="407" t="s">
        <v>2142</v>
      </c>
      <c r="D49" s="408">
        <v>7130830063</v>
      </c>
      <c r="E49" s="270" t="s">
        <v>1322</v>
      </c>
      <c r="F49" s="271">
        <f>VLOOKUP(D49,'SOR RATE'!A:D,4,0)/1000</f>
        <v>64.842</v>
      </c>
      <c r="G49" s="270">
        <v>300</v>
      </c>
      <c r="H49" s="410">
        <f t="shared" si="5"/>
        <v>19452.6</v>
      </c>
      <c r="I49" s="271">
        <f t="shared" si="6"/>
        <v>19452.6</v>
      </c>
      <c r="J49" s="271">
        <f t="shared" si="7"/>
        <v>19452.6</v>
      </c>
      <c r="K49" s="145"/>
      <c r="L49" s="145"/>
    </row>
    <row r="50" spans="1:12" ht="12.75">
      <c r="A50" s="1420"/>
      <c r="B50" s="399" t="s">
        <v>2002</v>
      </c>
      <c r="C50" s="419" t="s">
        <v>2144</v>
      </c>
      <c r="D50" s="417">
        <v>7130820009</v>
      </c>
      <c r="E50" s="279" t="s">
        <v>1130</v>
      </c>
      <c r="F50" s="271">
        <f>VLOOKUP(D50,'SOR RATE'!A:D,4,0)</f>
        <v>388</v>
      </c>
      <c r="G50" s="270">
        <v>3</v>
      </c>
      <c r="H50" s="410">
        <f t="shared" si="5"/>
        <v>1164</v>
      </c>
      <c r="I50" s="271">
        <f t="shared" si="6"/>
        <v>1164</v>
      </c>
      <c r="J50" s="271">
        <f t="shared" si="7"/>
        <v>1164</v>
      </c>
      <c r="K50" s="145" t="s">
        <v>1988</v>
      </c>
      <c r="L50" s="145"/>
    </row>
    <row r="51" spans="1:11" ht="12.75">
      <c r="A51" s="1420"/>
      <c r="B51" s="399" t="s">
        <v>2003</v>
      </c>
      <c r="C51" s="394" t="s">
        <v>2143</v>
      </c>
      <c r="D51" s="417">
        <v>7130820008</v>
      </c>
      <c r="E51" s="279" t="s">
        <v>1130</v>
      </c>
      <c r="F51" s="271">
        <f>VLOOKUP(D51,'SOR RATE'!A:D,4,0)</f>
        <v>157</v>
      </c>
      <c r="G51" s="270">
        <v>6</v>
      </c>
      <c r="H51" s="410">
        <f t="shared" si="5"/>
        <v>942</v>
      </c>
      <c r="I51" s="271">
        <f t="shared" si="6"/>
        <v>942</v>
      </c>
      <c r="J51" s="915">
        <f t="shared" si="7"/>
        <v>942</v>
      </c>
      <c r="K51" s="2" t="s">
        <v>1990</v>
      </c>
    </row>
    <row r="52" spans="1:10" ht="12.75">
      <c r="A52" s="1420"/>
      <c r="B52" s="399" t="s">
        <v>2004</v>
      </c>
      <c r="C52" s="394" t="s">
        <v>2005</v>
      </c>
      <c r="D52" s="417">
        <v>7130830052</v>
      </c>
      <c r="E52" s="279" t="s">
        <v>1061</v>
      </c>
      <c r="F52" s="271">
        <f>VLOOKUP(D52,'SOR RATE'!A:D,4,0)</f>
        <v>534</v>
      </c>
      <c r="G52" s="270">
        <v>7</v>
      </c>
      <c r="H52" s="410">
        <f t="shared" si="5"/>
        <v>3738</v>
      </c>
      <c r="I52" s="271">
        <f t="shared" si="6"/>
        <v>3738</v>
      </c>
      <c r="J52" s="915">
        <f t="shared" si="7"/>
        <v>3738</v>
      </c>
    </row>
    <row r="53" spans="1:10" ht="12.75">
      <c r="A53" s="1420"/>
      <c r="B53" s="399" t="s">
        <v>2006</v>
      </c>
      <c r="C53" s="394" t="s">
        <v>2007</v>
      </c>
      <c r="D53" s="417">
        <v>7130830054</v>
      </c>
      <c r="E53" s="279" t="s">
        <v>1061</v>
      </c>
      <c r="F53" s="271">
        <f>VLOOKUP(D53,'SOR RATE'!A:D,4,0)</f>
        <v>312</v>
      </c>
      <c r="G53" s="270">
        <v>24</v>
      </c>
      <c r="H53" s="410">
        <f t="shared" si="5"/>
        <v>7488</v>
      </c>
      <c r="I53" s="271">
        <f t="shared" si="6"/>
        <v>7488</v>
      </c>
      <c r="J53" s="915">
        <f t="shared" si="7"/>
        <v>7488</v>
      </c>
    </row>
    <row r="54" spans="1:11" ht="25.5">
      <c r="A54" s="1420"/>
      <c r="B54" s="1425" t="s">
        <v>2008</v>
      </c>
      <c r="C54" s="420" t="s">
        <v>2009</v>
      </c>
      <c r="D54" s="391"/>
      <c r="E54" s="392"/>
      <c r="F54" s="392"/>
      <c r="G54" s="392"/>
      <c r="H54" s="392"/>
      <c r="I54" s="392"/>
      <c r="J54" s="421"/>
      <c r="K54" s="145"/>
    </row>
    <row r="55" spans="1:11" ht="12.75">
      <c r="A55" s="1420"/>
      <c r="B55" s="1426"/>
      <c r="C55" s="423" t="s">
        <v>1401</v>
      </c>
      <c r="D55" s="417"/>
      <c r="E55" s="424" t="s">
        <v>1022</v>
      </c>
      <c r="F55" s="425">
        <f>H56+H57</f>
        <v>41427</v>
      </c>
      <c r="G55" s="426">
        <v>18</v>
      </c>
      <c r="H55" s="427"/>
      <c r="I55" s="428"/>
      <c r="J55" s="280"/>
      <c r="K55" s="145"/>
    </row>
    <row r="56" spans="1:12" ht="12.75">
      <c r="A56" s="1420"/>
      <c r="B56" s="1426"/>
      <c r="C56" s="286" t="s">
        <v>2145</v>
      </c>
      <c r="D56" s="417">
        <v>7130820011</v>
      </c>
      <c r="E56" s="429" t="s">
        <v>1061</v>
      </c>
      <c r="F56" s="280">
        <f>VLOOKUP(D56,'SOR RATE'!A:D,4,0)</f>
        <v>354</v>
      </c>
      <c r="G56" s="430">
        <v>63</v>
      </c>
      <c r="H56" s="418">
        <f>G56*F56</f>
        <v>22302</v>
      </c>
      <c r="I56" s="431">
        <f>G56*F56</f>
        <v>22302</v>
      </c>
      <c r="J56" s="280">
        <f>G56*F56</f>
        <v>22302</v>
      </c>
      <c r="K56" s="145" t="s">
        <v>1156</v>
      </c>
      <c r="L56" s="145"/>
    </row>
    <row r="57" spans="1:12" ht="12.75">
      <c r="A57" s="1420"/>
      <c r="B57" s="1426"/>
      <c r="C57" s="286" t="s">
        <v>1402</v>
      </c>
      <c r="D57" s="395">
        <v>7130820248</v>
      </c>
      <c r="E57" s="279" t="s">
        <v>1130</v>
      </c>
      <c r="F57" s="280">
        <f>VLOOKUP(D57,'SOR RATE'!A:D,4,0)</f>
        <v>255</v>
      </c>
      <c r="G57" s="279">
        <v>75</v>
      </c>
      <c r="H57" s="418">
        <f>G57*F57</f>
        <v>19125</v>
      </c>
      <c r="I57" s="431">
        <f>G57*F57</f>
        <v>19125</v>
      </c>
      <c r="J57" s="280">
        <f>G57*F57</f>
        <v>19125</v>
      </c>
      <c r="K57" s="145"/>
      <c r="L57" s="145"/>
    </row>
    <row r="58" spans="1:12" ht="12.75">
      <c r="A58" s="1420"/>
      <c r="B58" s="1426"/>
      <c r="C58" s="432" t="s">
        <v>1403</v>
      </c>
      <c r="D58" s="417"/>
      <c r="E58" s="433" t="s">
        <v>1022</v>
      </c>
      <c r="F58" s="287">
        <f>H59+H60</f>
        <v>25380</v>
      </c>
      <c r="G58" s="284">
        <v>48</v>
      </c>
      <c r="H58" s="418"/>
      <c r="I58" s="431"/>
      <c r="J58" s="280"/>
      <c r="K58" s="145"/>
      <c r="L58" s="145"/>
    </row>
    <row r="59" spans="1:12" ht="12.75">
      <c r="A59" s="1420"/>
      <c r="B59" s="1426"/>
      <c r="C59" s="286" t="s">
        <v>2147</v>
      </c>
      <c r="D59" s="417">
        <v>7130820010</v>
      </c>
      <c r="E59" s="279" t="s">
        <v>1061</v>
      </c>
      <c r="F59" s="271">
        <f>VLOOKUP(D59,'SOR RATE'!A:D,4,0)</f>
        <v>140</v>
      </c>
      <c r="G59" s="270">
        <v>108</v>
      </c>
      <c r="H59" s="410">
        <f>G59*F59</f>
        <v>15120</v>
      </c>
      <c r="I59" s="431">
        <f>G59*F59</f>
        <v>15120</v>
      </c>
      <c r="J59" s="280">
        <f>G59*F59</f>
        <v>15120</v>
      </c>
      <c r="K59" s="145" t="s">
        <v>1256</v>
      </c>
      <c r="L59" s="145"/>
    </row>
    <row r="60" spans="1:12" ht="12.75">
      <c r="A60" s="1420"/>
      <c r="B60" s="1427"/>
      <c r="C60" s="286" t="s">
        <v>1404</v>
      </c>
      <c r="D60" s="417">
        <v>7130810624</v>
      </c>
      <c r="E60" s="279" t="s">
        <v>1061</v>
      </c>
      <c r="F60" s="280">
        <f>VLOOKUP(D60,'SOR RATE'!A:D,4,0)</f>
        <v>90</v>
      </c>
      <c r="G60" s="279">
        <v>114</v>
      </c>
      <c r="H60" s="418">
        <f>G60*F60</f>
        <v>10260</v>
      </c>
      <c r="I60" s="431">
        <f>G60*F60</f>
        <v>10260</v>
      </c>
      <c r="J60" s="280">
        <f>G60*F60</f>
        <v>10260</v>
      </c>
      <c r="K60" s="145"/>
      <c r="L60" s="145"/>
    </row>
    <row r="61" spans="1:11" ht="25.5">
      <c r="A61" s="1421"/>
      <c r="B61" s="422" t="s">
        <v>1405</v>
      </c>
      <c r="C61" s="434" t="s">
        <v>2146</v>
      </c>
      <c r="D61" s="412">
        <v>7130830585</v>
      </c>
      <c r="E61" s="388" t="s">
        <v>1061</v>
      </c>
      <c r="F61" s="271">
        <f>VLOOKUP(D61,'SOR RATE'!A:D,4,0)</f>
        <v>239</v>
      </c>
      <c r="G61" s="608">
        <v>66</v>
      </c>
      <c r="H61" s="695">
        <f>G61*F61</f>
        <v>15774</v>
      </c>
      <c r="I61" s="435">
        <f>G61*F61</f>
        <v>15774</v>
      </c>
      <c r="J61" s="436">
        <f>G61*F61</f>
        <v>15774</v>
      </c>
      <c r="K61" s="145"/>
    </row>
    <row r="62" spans="1:10" ht="12.75">
      <c r="A62" s="1419">
        <v>3</v>
      </c>
      <c r="B62" s="384"/>
      <c r="C62" s="385" t="s">
        <v>1406</v>
      </c>
      <c r="D62" s="386"/>
      <c r="E62" s="386"/>
      <c r="F62" s="386"/>
      <c r="G62" s="386"/>
      <c r="H62" s="386"/>
      <c r="I62" s="386"/>
      <c r="J62" s="387"/>
    </row>
    <row r="63" spans="1:10" ht="29.25" customHeight="1">
      <c r="A63" s="1420"/>
      <c r="B63" s="389" t="s">
        <v>1048</v>
      </c>
      <c r="C63" s="281" t="s">
        <v>1407</v>
      </c>
      <c r="D63" s="412">
        <v>7130200401</v>
      </c>
      <c r="E63" s="383" t="s">
        <v>1070</v>
      </c>
      <c r="F63" s="436">
        <f>VLOOKUP(D63,'SOR RATE'!A:D,4,0)/50</f>
        <v>5.36</v>
      </c>
      <c r="G63" s="437">
        <v>1497.6</v>
      </c>
      <c r="H63" s="436">
        <f>G63*F63</f>
        <v>8027.136</v>
      </c>
      <c r="I63" s="436">
        <f>G63*F63</f>
        <v>8027.136</v>
      </c>
      <c r="J63" s="436">
        <f>G63*F63</f>
        <v>8027.136</v>
      </c>
    </row>
    <row r="64" spans="1:10" ht="18" customHeight="1">
      <c r="A64" s="1420"/>
      <c r="B64" s="389" t="s">
        <v>1072</v>
      </c>
      <c r="C64" s="281" t="s">
        <v>38</v>
      </c>
      <c r="D64" s="412">
        <v>7130200401</v>
      </c>
      <c r="E64" s="383" t="s">
        <v>1070</v>
      </c>
      <c r="F64" s="436">
        <f>+F63</f>
        <v>5.36</v>
      </c>
      <c r="G64" s="437">
        <v>3120</v>
      </c>
      <c r="H64" s="436">
        <f>G64*F64</f>
        <v>16723.2</v>
      </c>
      <c r="I64" s="438">
        <f>G64*F64</f>
        <v>16723.2</v>
      </c>
      <c r="J64" s="438">
        <f>G64*F64</f>
        <v>16723.2</v>
      </c>
    </row>
    <row r="65" spans="1:10" ht="25.5">
      <c r="A65" s="1420"/>
      <c r="B65" s="389" t="s">
        <v>1693</v>
      </c>
      <c r="C65" s="419" t="s">
        <v>2148</v>
      </c>
      <c r="D65" s="412">
        <v>7130200401</v>
      </c>
      <c r="E65" s="383" t="s">
        <v>1070</v>
      </c>
      <c r="F65" s="436">
        <f>+F64</f>
        <v>5.36</v>
      </c>
      <c r="G65" s="437">
        <v>2496</v>
      </c>
      <c r="H65" s="438">
        <f>G65*F65</f>
        <v>13378.560000000001</v>
      </c>
      <c r="I65" s="438">
        <f>G65*F65</f>
        <v>13378.560000000001</v>
      </c>
      <c r="J65" s="438">
        <f>G65*F65</f>
        <v>13378.560000000001</v>
      </c>
    </row>
    <row r="66" spans="1:10" ht="25.5">
      <c r="A66" s="1420"/>
      <c r="B66" s="439" t="s">
        <v>1695</v>
      </c>
      <c r="C66" s="419" t="s">
        <v>2029</v>
      </c>
      <c r="D66" s="412">
        <v>7130200401</v>
      </c>
      <c r="E66" s="383" t="s">
        <v>1070</v>
      </c>
      <c r="F66" s="436">
        <f>+F65</f>
        <v>5.36</v>
      </c>
      <c r="G66" s="437">
        <v>1456</v>
      </c>
      <c r="H66" s="438">
        <f>G66*F66</f>
        <v>7804.160000000001</v>
      </c>
      <c r="I66" s="438">
        <f>G66*F66</f>
        <v>7804.160000000001</v>
      </c>
      <c r="J66" s="438">
        <f>G66*F66</f>
        <v>7804.160000000001</v>
      </c>
    </row>
    <row r="67" spans="1:10" ht="12.75">
      <c r="A67" s="1420"/>
      <c r="B67" s="399" t="s">
        <v>1697</v>
      </c>
      <c r="C67" s="419" t="s">
        <v>39</v>
      </c>
      <c r="D67" s="412" t="s">
        <v>40</v>
      </c>
      <c r="E67" s="437"/>
      <c r="F67" s="436">
        <v>3630</v>
      </c>
      <c r="G67" s="437" t="s">
        <v>1041</v>
      </c>
      <c r="H67" s="436"/>
      <c r="I67" s="436"/>
      <c r="J67" s="436"/>
    </row>
    <row r="68" spans="1:10" ht="12.75">
      <c r="A68" s="1420"/>
      <c r="B68" s="1425" t="s">
        <v>1699</v>
      </c>
      <c r="C68" s="420" t="s">
        <v>41</v>
      </c>
      <c r="D68" s="391"/>
      <c r="E68" s="392"/>
      <c r="F68" s="392"/>
      <c r="G68" s="392"/>
      <c r="H68" s="392"/>
      <c r="I68" s="392"/>
      <c r="J68" s="393"/>
    </row>
    <row r="69" spans="1:10" ht="12.75">
      <c r="A69" s="1420"/>
      <c r="B69" s="1426"/>
      <c r="C69" s="440" t="s">
        <v>42</v>
      </c>
      <c r="D69" s="417">
        <v>7130310658</v>
      </c>
      <c r="E69" s="279" t="s">
        <v>1322</v>
      </c>
      <c r="F69" s="280">
        <f>VLOOKUP(D69,'SOR RATE'!A:D,4,0)/1000</f>
        <v>125.719</v>
      </c>
      <c r="G69" s="279">
        <v>180</v>
      </c>
      <c r="H69" s="441">
        <f>G69*F69</f>
        <v>22629.42</v>
      </c>
      <c r="I69" s="441">
        <f>G69*F69</f>
        <v>22629.42</v>
      </c>
      <c r="J69" s="441">
        <f>G69*F69</f>
        <v>22629.42</v>
      </c>
    </row>
    <row r="70" spans="1:10" ht="12.75">
      <c r="A70" s="1420"/>
      <c r="B70" s="1426"/>
      <c r="C70" s="440" t="s">
        <v>43</v>
      </c>
      <c r="D70" s="442">
        <v>7130310654</v>
      </c>
      <c r="E70" s="443" t="s">
        <v>1322</v>
      </c>
      <c r="F70" s="280">
        <f>VLOOKUP(D70,'SOR RATE'!A:D,4,0)/1000</f>
        <v>67.671</v>
      </c>
      <c r="G70" s="443">
        <f>360+120+240</f>
        <v>720</v>
      </c>
      <c r="H70" s="445">
        <f>G70*F70</f>
        <v>48723.12</v>
      </c>
      <c r="I70" s="445">
        <f>G70*F70</f>
        <v>48723.12</v>
      </c>
      <c r="J70" s="445">
        <f>G70*F70</f>
        <v>48723.12</v>
      </c>
    </row>
    <row r="71" spans="1:10" ht="12.75">
      <c r="A71" s="1420"/>
      <c r="B71" s="1427"/>
      <c r="C71" s="440" t="s">
        <v>44</v>
      </c>
      <c r="D71" s="442">
        <v>7130310652</v>
      </c>
      <c r="E71" s="443" t="s">
        <v>1322</v>
      </c>
      <c r="F71" s="280">
        <f>VLOOKUP(D71,'SOR RATE'!A:D,4,0)/1000</f>
        <v>39.708</v>
      </c>
      <c r="G71" s="443">
        <v>180</v>
      </c>
      <c r="H71" s="445">
        <f>G71*F71</f>
        <v>7147.44</v>
      </c>
      <c r="I71" s="445">
        <f>G71*F71</f>
        <v>7147.44</v>
      </c>
      <c r="J71" s="445">
        <f>G71*F71</f>
        <v>7147.44</v>
      </c>
    </row>
    <row r="72" spans="1:10" ht="12.75">
      <c r="A72" s="1420"/>
      <c r="B72" s="1425" t="s">
        <v>1700</v>
      </c>
      <c r="C72" s="446" t="s">
        <v>45</v>
      </c>
      <c r="D72" s="447"/>
      <c r="E72" s="443" t="s">
        <v>1041</v>
      </c>
      <c r="F72" s="448">
        <v>120000</v>
      </c>
      <c r="G72" s="443" t="s">
        <v>1041</v>
      </c>
      <c r="H72" s="444"/>
      <c r="I72" s="444"/>
      <c r="J72" s="444"/>
    </row>
    <row r="73" spans="1:10" ht="38.25">
      <c r="A73" s="1420"/>
      <c r="B73" s="1426"/>
      <c r="C73" s="449" t="s">
        <v>2021</v>
      </c>
      <c r="D73" s="450"/>
      <c r="E73" s="451"/>
      <c r="F73" s="451"/>
      <c r="G73" s="451"/>
      <c r="H73" s="451"/>
      <c r="I73" s="451"/>
      <c r="J73" s="452"/>
    </row>
    <row r="74" spans="1:11" ht="18.75" customHeight="1">
      <c r="A74" s="1420"/>
      <c r="B74" s="1426"/>
      <c r="C74" s="281" t="s">
        <v>640</v>
      </c>
      <c r="D74" s="453">
        <v>7130642041</v>
      </c>
      <c r="E74" s="454" t="s">
        <v>1061</v>
      </c>
      <c r="F74" s="271">
        <f>VLOOKUP(D74,'SOR RATE'!A:D,4,0)</f>
        <v>4169</v>
      </c>
      <c r="G74" s="454">
        <v>21</v>
      </c>
      <c r="H74" s="455">
        <f aca="true" t="shared" si="8" ref="H74:H80">G74*F74</f>
        <v>87549</v>
      </c>
      <c r="I74" s="455">
        <f aca="true" t="shared" si="9" ref="I74:I80">G74*F74</f>
        <v>87549</v>
      </c>
      <c r="J74" s="455">
        <f aca="true" t="shared" si="10" ref="J74:J80">G74*F74</f>
        <v>87549</v>
      </c>
      <c r="K74" s="106"/>
    </row>
    <row r="75" spans="1:11" ht="38.25">
      <c r="A75" s="1420"/>
      <c r="B75" s="1426"/>
      <c r="C75" s="456" t="s">
        <v>2022</v>
      </c>
      <c r="D75" s="457">
        <v>7130642039</v>
      </c>
      <c r="E75" s="458" t="s">
        <v>1061</v>
      </c>
      <c r="F75" s="436">
        <f>VLOOKUP(D75,'SOR RATE'!A:D,4,0)</f>
        <v>820</v>
      </c>
      <c r="G75" s="458">
        <v>40</v>
      </c>
      <c r="H75" s="459">
        <f t="shared" si="8"/>
        <v>32800</v>
      </c>
      <c r="I75" s="459">
        <f t="shared" si="9"/>
        <v>32800</v>
      </c>
      <c r="J75" s="459">
        <f t="shared" si="10"/>
        <v>32800</v>
      </c>
      <c r="K75" s="105"/>
    </row>
    <row r="76" spans="1:11" ht="12.75">
      <c r="A76" s="1420"/>
      <c r="B76" s="1426"/>
      <c r="C76" s="256" t="s">
        <v>2023</v>
      </c>
      <c r="D76" s="457">
        <v>7130600173</v>
      </c>
      <c r="E76" s="458" t="s">
        <v>1070</v>
      </c>
      <c r="F76" s="280">
        <f>VLOOKUP(D76,'SOR RATE'!A:D,4,0)/1000</f>
        <v>40.214</v>
      </c>
      <c r="G76" s="458">
        <v>400</v>
      </c>
      <c r="H76" s="459">
        <f t="shared" si="8"/>
        <v>16085.599999999999</v>
      </c>
      <c r="I76" s="459">
        <f t="shared" si="9"/>
        <v>16085.599999999999</v>
      </c>
      <c r="J76" s="1227">
        <f t="shared" si="10"/>
        <v>16085.599999999999</v>
      </c>
      <c r="K76" s="1226"/>
    </row>
    <row r="77" spans="1:10" ht="12.75">
      <c r="A77" s="1420"/>
      <c r="B77" s="1426"/>
      <c r="C77" s="456" t="s">
        <v>643</v>
      </c>
      <c r="D77" s="457">
        <v>7130870043</v>
      </c>
      <c r="E77" s="458" t="s">
        <v>1070</v>
      </c>
      <c r="F77" s="280">
        <f>VLOOKUP(D77,'SOR RATE'!A:D,4,0)/1000</f>
        <v>55.094</v>
      </c>
      <c r="G77" s="458">
        <v>31</v>
      </c>
      <c r="H77" s="459">
        <f t="shared" si="8"/>
        <v>1707.914</v>
      </c>
      <c r="I77" s="459">
        <f t="shared" si="9"/>
        <v>1707.914</v>
      </c>
      <c r="J77" s="459">
        <f t="shared" si="10"/>
        <v>1707.914</v>
      </c>
    </row>
    <row r="78" spans="1:10" ht="12.75">
      <c r="A78" s="1420"/>
      <c r="B78" s="1426"/>
      <c r="C78" s="252" t="s">
        <v>644</v>
      </c>
      <c r="D78" s="457">
        <v>7130620133</v>
      </c>
      <c r="E78" s="458" t="s">
        <v>1070</v>
      </c>
      <c r="F78" s="280">
        <f>VLOOKUP(D78,'SOR RATE'!A:D,4,0)</f>
        <v>89</v>
      </c>
      <c r="G78" s="458">
        <v>25</v>
      </c>
      <c r="H78" s="459">
        <f t="shared" si="8"/>
        <v>2225</v>
      </c>
      <c r="I78" s="459">
        <f t="shared" si="9"/>
        <v>2225</v>
      </c>
      <c r="J78" s="459">
        <f t="shared" si="10"/>
        <v>2225</v>
      </c>
    </row>
    <row r="79" spans="1:10" ht="12.75">
      <c r="A79" s="1420"/>
      <c r="B79" s="1426"/>
      <c r="C79" s="252" t="s">
        <v>645</v>
      </c>
      <c r="D79" s="457">
        <v>7130620140</v>
      </c>
      <c r="E79" s="458" t="s">
        <v>1070</v>
      </c>
      <c r="F79" s="280">
        <f>VLOOKUP(D79,'SOR RATE'!A:D,4,0)</f>
        <v>89</v>
      </c>
      <c r="G79" s="458">
        <v>10</v>
      </c>
      <c r="H79" s="459">
        <f t="shared" si="8"/>
        <v>890</v>
      </c>
      <c r="I79" s="459">
        <f t="shared" si="9"/>
        <v>890</v>
      </c>
      <c r="J79" s="459">
        <f t="shared" si="10"/>
        <v>890</v>
      </c>
    </row>
    <row r="80" spans="1:10" ht="12.75">
      <c r="A80" s="1420"/>
      <c r="B80" s="1427"/>
      <c r="C80" s="256" t="s">
        <v>647</v>
      </c>
      <c r="D80" s="457">
        <v>7130622922</v>
      </c>
      <c r="E80" s="458" t="s">
        <v>1070</v>
      </c>
      <c r="F80" s="280">
        <f>VLOOKUP(D80,'SOR RATE'!A:D,4,0)</f>
        <v>127</v>
      </c>
      <c r="G80" s="458">
        <v>5</v>
      </c>
      <c r="H80" s="459">
        <f t="shared" si="8"/>
        <v>635</v>
      </c>
      <c r="I80" s="459">
        <f t="shared" si="9"/>
        <v>635</v>
      </c>
      <c r="J80" s="459">
        <f t="shared" si="10"/>
        <v>635</v>
      </c>
    </row>
    <row r="81" spans="1:10" ht="12.75">
      <c r="A81" s="1420"/>
      <c r="B81" s="1425" t="s">
        <v>1703</v>
      </c>
      <c r="C81" s="446" t="s">
        <v>2024</v>
      </c>
      <c r="D81" s="457"/>
      <c r="E81" s="458" t="s">
        <v>1070</v>
      </c>
      <c r="F81" s="280"/>
      <c r="G81" s="443">
        <v>125</v>
      </c>
      <c r="H81" s="459"/>
      <c r="I81" s="459"/>
      <c r="J81" s="459"/>
    </row>
    <row r="82" spans="1:10" ht="12.75">
      <c r="A82" s="1420"/>
      <c r="B82" s="1426"/>
      <c r="C82" s="256" t="s">
        <v>2025</v>
      </c>
      <c r="D82" s="457">
        <v>7130620609</v>
      </c>
      <c r="E82" s="443" t="s">
        <v>1070</v>
      </c>
      <c r="F82" s="280">
        <f>VLOOKUP(D82,'SOR RATE'!A:D,4,0)</f>
        <v>64</v>
      </c>
      <c r="G82" s="443">
        <v>10</v>
      </c>
      <c r="H82" s="459">
        <f aca="true" t="shared" si="11" ref="H82:H87">G82*F82</f>
        <v>640</v>
      </c>
      <c r="I82" s="459">
        <f aca="true" t="shared" si="12" ref="I82:I87">G82*F82</f>
        <v>640</v>
      </c>
      <c r="J82" s="459">
        <f aca="true" t="shared" si="13" ref="J82:J87">G82*F82</f>
        <v>640</v>
      </c>
    </row>
    <row r="83" spans="1:10" ht="12.75">
      <c r="A83" s="1420"/>
      <c r="B83" s="1426"/>
      <c r="C83" s="256" t="s">
        <v>2026</v>
      </c>
      <c r="D83" s="457">
        <v>7130620614</v>
      </c>
      <c r="E83" s="443" t="s">
        <v>1070</v>
      </c>
      <c r="F83" s="280">
        <f>VLOOKUP(D83,'SOR RATE'!A:D,4,0)</f>
        <v>63</v>
      </c>
      <c r="G83" s="443">
        <v>8</v>
      </c>
      <c r="H83" s="459">
        <f t="shared" si="11"/>
        <v>504</v>
      </c>
      <c r="I83" s="459">
        <f t="shared" si="12"/>
        <v>504</v>
      </c>
      <c r="J83" s="459">
        <f t="shared" si="13"/>
        <v>504</v>
      </c>
    </row>
    <row r="84" spans="1:10" ht="12.75">
      <c r="A84" s="1420"/>
      <c r="B84" s="1426"/>
      <c r="C84" s="256" t="s">
        <v>2027</v>
      </c>
      <c r="D84" s="457">
        <v>7130620619</v>
      </c>
      <c r="E84" s="443" t="s">
        <v>1070</v>
      </c>
      <c r="F84" s="280">
        <f>VLOOKUP(D84,'SOR RATE'!A:D,4,0)</f>
        <v>63</v>
      </c>
      <c r="G84" s="443">
        <v>25</v>
      </c>
      <c r="H84" s="459">
        <f t="shared" si="11"/>
        <v>1575</v>
      </c>
      <c r="I84" s="459">
        <f t="shared" si="12"/>
        <v>1575</v>
      </c>
      <c r="J84" s="459">
        <f t="shared" si="13"/>
        <v>1575</v>
      </c>
    </row>
    <row r="85" spans="1:10" ht="12.75">
      <c r="A85" s="1420"/>
      <c r="B85" s="1426"/>
      <c r="C85" s="256" t="s">
        <v>2028</v>
      </c>
      <c r="D85" s="457">
        <v>7130620627</v>
      </c>
      <c r="E85" s="443" t="s">
        <v>1070</v>
      </c>
      <c r="F85" s="280">
        <f>VLOOKUP(D85,'SOR RATE'!A:D,4,0)</f>
        <v>62</v>
      </c>
      <c r="G85" s="443">
        <v>70</v>
      </c>
      <c r="H85" s="459">
        <f t="shared" si="11"/>
        <v>4340</v>
      </c>
      <c r="I85" s="459">
        <f t="shared" si="12"/>
        <v>4340</v>
      </c>
      <c r="J85" s="459">
        <f t="shared" si="13"/>
        <v>4340</v>
      </c>
    </row>
    <row r="86" spans="1:10" ht="12.75">
      <c r="A86" s="1420"/>
      <c r="B86" s="1426"/>
      <c r="C86" s="256" t="s">
        <v>1077</v>
      </c>
      <c r="D86" s="457">
        <v>7130620631</v>
      </c>
      <c r="E86" s="443" t="s">
        <v>1070</v>
      </c>
      <c r="F86" s="280">
        <f>VLOOKUP(D86,'SOR RATE'!A:D,4,0)</f>
        <v>62</v>
      </c>
      <c r="G86" s="443">
        <v>80</v>
      </c>
      <c r="H86" s="459">
        <f t="shared" si="11"/>
        <v>4960</v>
      </c>
      <c r="I86" s="459">
        <f t="shared" si="12"/>
        <v>4960</v>
      </c>
      <c r="J86" s="459">
        <f t="shared" si="13"/>
        <v>4960</v>
      </c>
    </row>
    <row r="87" spans="1:10" ht="12.75">
      <c r="A87" s="1421"/>
      <c r="B87" s="1427"/>
      <c r="C87" s="256" t="s">
        <v>1078</v>
      </c>
      <c r="D87" s="457">
        <v>7130620637</v>
      </c>
      <c r="E87" s="443" t="s">
        <v>1070</v>
      </c>
      <c r="F87" s="280">
        <f>VLOOKUP(D87,'SOR RATE'!A:D,4,0)</f>
        <v>62</v>
      </c>
      <c r="G87" s="443">
        <v>20</v>
      </c>
      <c r="H87" s="459">
        <f t="shared" si="11"/>
        <v>1240</v>
      </c>
      <c r="I87" s="459">
        <f t="shared" si="12"/>
        <v>1240</v>
      </c>
      <c r="J87" s="459">
        <f t="shared" si="13"/>
        <v>1240</v>
      </c>
    </row>
    <row r="88" spans="1:11" ht="13.5">
      <c r="A88" s="284">
        <v>4</v>
      </c>
      <c r="B88" s="384"/>
      <c r="C88" s="390" t="s">
        <v>1079</v>
      </c>
      <c r="D88" s="460"/>
      <c r="E88" s="461"/>
      <c r="F88" s="461"/>
      <c r="G88" s="461"/>
      <c r="H88" s="448">
        <f>SUM(H10:H87)</f>
        <v>2497513.9484</v>
      </c>
      <c r="I88" s="448">
        <f>SUM(I10:I87)</f>
        <v>4077578.9484</v>
      </c>
      <c r="J88" s="448">
        <f>SUM(J10:J87)</f>
        <v>4975385.9484</v>
      </c>
      <c r="K88" s="352"/>
    </row>
    <row r="89" spans="1:12" ht="15.75" customHeight="1">
      <c r="A89" s="1415">
        <v>5</v>
      </c>
      <c r="B89" s="462"/>
      <c r="C89" s="463" t="s">
        <v>770</v>
      </c>
      <c r="D89" s="464"/>
      <c r="E89" s="464"/>
      <c r="F89" s="465">
        <v>0.09</v>
      </c>
      <c r="G89" s="465"/>
      <c r="H89" s="409">
        <f>H88*F89</f>
        <v>224776.255356</v>
      </c>
      <c r="I89" s="409">
        <f>I88*F89</f>
        <v>366982.105356</v>
      </c>
      <c r="J89" s="409">
        <f>J88*F89</f>
        <v>447784.735356</v>
      </c>
      <c r="L89" s="353"/>
    </row>
    <row r="90" spans="1:10" ht="12.75">
      <c r="A90" s="1416"/>
      <c r="B90" s="1428"/>
      <c r="C90" s="466" t="s">
        <v>1080</v>
      </c>
      <c r="D90" s="467"/>
      <c r="E90" s="468" t="s">
        <v>1023</v>
      </c>
      <c r="F90" s="409">
        <f>10254.24*1.27*1.0891*1.086275*1.1112*1.0685</f>
        <v>18292.855370189558</v>
      </c>
      <c r="G90" s="469">
        <v>1</v>
      </c>
      <c r="H90" s="455">
        <f>G90*F90</f>
        <v>18292.855370189558</v>
      </c>
      <c r="I90" s="455">
        <f>G90*F90</f>
        <v>18292.855370189558</v>
      </c>
      <c r="J90" s="455">
        <f aca="true" t="shared" si="14" ref="J90:J97">G90*F90</f>
        <v>18292.855370189558</v>
      </c>
    </row>
    <row r="91" spans="1:10" ht="12.75">
      <c r="A91" s="1416"/>
      <c r="B91" s="1428"/>
      <c r="C91" s="466" t="s">
        <v>1081</v>
      </c>
      <c r="D91" s="467"/>
      <c r="E91" s="470" t="s">
        <v>1023</v>
      </c>
      <c r="F91" s="409">
        <f>1.1*6000*1.27*1.0891*1.086275*1.1112*1.0685</f>
        <v>11773.943797224478</v>
      </c>
      <c r="G91" s="469">
        <v>1</v>
      </c>
      <c r="H91" s="455">
        <f aca="true" t="shared" si="15" ref="H91:H97">F91*G91</f>
        <v>11773.943797224478</v>
      </c>
      <c r="I91" s="455">
        <f aca="true" t="shared" si="16" ref="I91:I97">F91*G91</f>
        <v>11773.943797224478</v>
      </c>
      <c r="J91" s="455">
        <f t="shared" si="14"/>
        <v>11773.943797224478</v>
      </c>
    </row>
    <row r="92" spans="1:10" ht="12.75">
      <c r="A92" s="1416"/>
      <c r="B92" s="1428"/>
      <c r="C92" s="256" t="s">
        <v>1003</v>
      </c>
      <c r="D92" s="471"/>
      <c r="E92" s="472" t="s">
        <v>1061</v>
      </c>
      <c r="F92" s="409">
        <f>1.1*5000*1.27*1.0891*1.086275*1.1112*1.0685</f>
        <v>9811.619831020394</v>
      </c>
      <c r="G92" s="469">
        <v>1</v>
      </c>
      <c r="H92" s="455">
        <f t="shared" si="15"/>
        <v>9811.619831020394</v>
      </c>
      <c r="I92" s="455">
        <f t="shared" si="16"/>
        <v>9811.619831020394</v>
      </c>
      <c r="J92" s="455">
        <f t="shared" si="14"/>
        <v>9811.619831020394</v>
      </c>
    </row>
    <row r="93" spans="1:10" ht="25.5">
      <c r="A93" s="1416"/>
      <c r="B93" s="1428"/>
      <c r="C93" s="473" t="s">
        <v>1082</v>
      </c>
      <c r="D93" s="467"/>
      <c r="E93" s="474" t="s">
        <v>1065</v>
      </c>
      <c r="F93" s="409">
        <f>1664*1.27*1.0891*1.086275*1.1112*1.0685</f>
        <v>2968.460981603261</v>
      </c>
      <c r="G93" s="454">
        <v>7.2</v>
      </c>
      <c r="H93" s="455">
        <f t="shared" si="15"/>
        <v>21372.91906754348</v>
      </c>
      <c r="I93" s="455">
        <f t="shared" si="16"/>
        <v>21372.91906754348</v>
      </c>
      <c r="J93" s="455">
        <f t="shared" si="14"/>
        <v>21372.91906754348</v>
      </c>
    </row>
    <row r="94" spans="1:10" ht="15" customHeight="1">
      <c r="A94" s="1416"/>
      <c r="B94" s="1428"/>
      <c r="C94" s="407" t="s">
        <v>1083</v>
      </c>
      <c r="D94" s="467"/>
      <c r="E94" s="470" t="s">
        <v>1065</v>
      </c>
      <c r="F94" s="409">
        <f>1664*1.27*1.0891*1.086275*1.1112*1.0685</f>
        <v>2968.460981603261</v>
      </c>
      <c r="G94" s="443">
        <v>15</v>
      </c>
      <c r="H94" s="455">
        <f t="shared" si="15"/>
        <v>44526.91472404892</v>
      </c>
      <c r="I94" s="455">
        <f t="shared" si="16"/>
        <v>44526.91472404892</v>
      </c>
      <c r="J94" s="455">
        <f t="shared" si="14"/>
        <v>44526.91472404892</v>
      </c>
    </row>
    <row r="95" spans="1:10" ht="26.25" customHeight="1">
      <c r="A95" s="1416"/>
      <c r="B95" s="1428"/>
      <c r="C95" s="407" t="s">
        <v>1084</v>
      </c>
      <c r="D95" s="447"/>
      <c r="E95" s="475" t="s">
        <v>1065</v>
      </c>
      <c r="F95" s="409">
        <f>1664*1.27*1.0891*1.086275*1.1112*1.0685</f>
        <v>2968.460981603261</v>
      </c>
      <c r="G95" s="454">
        <v>12</v>
      </c>
      <c r="H95" s="455">
        <f t="shared" si="15"/>
        <v>35621.531779239136</v>
      </c>
      <c r="I95" s="455">
        <f t="shared" si="16"/>
        <v>35621.531779239136</v>
      </c>
      <c r="J95" s="455">
        <f t="shared" si="14"/>
        <v>35621.531779239136</v>
      </c>
    </row>
    <row r="96" spans="1:10" ht="27.75" customHeight="1">
      <c r="A96" s="1416"/>
      <c r="B96" s="1428"/>
      <c r="C96" s="407" t="s">
        <v>1085</v>
      </c>
      <c r="D96" s="447"/>
      <c r="E96" s="475" t="s">
        <v>1065</v>
      </c>
      <c r="F96" s="409">
        <f>1664*1.27*1.0891*1.086275*1.1112*1.0685</f>
        <v>2968.460981603261</v>
      </c>
      <c r="G96" s="454">
        <v>7</v>
      </c>
      <c r="H96" s="455">
        <f t="shared" si="15"/>
        <v>20779.22687122283</v>
      </c>
      <c r="I96" s="455">
        <f t="shared" si="16"/>
        <v>20779.22687122283</v>
      </c>
      <c r="J96" s="455">
        <f t="shared" si="14"/>
        <v>20779.22687122283</v>
      </c>
    </row>
    <row r="97" spans="1:10" ht="14.25" customHeight="1">
      <c r="A97" s="1417"/>
      <c r="B97" s="1429"/>
      <c r="C97" s="407" t="s">
        <v>1086</v>
      </c>
      <c r="D97" s="476"/>
      <c r="E97" s="474" t="s">
        <v>1061</v>
      </c>
      <c r="F97" s="409">
        <f>1.1*800*1.27*1.0891*1.086275*1.1112*1.0685</f>
        <v>1569.8591729632635</v>
      </c>
      <c r="G97" s="469">
        <v>30</v>
      </c>
      <c r="H97" s="455">
        <f t="shared" si="15"/>
        <v>47095.775188897904</v>
      </c>
      <c r="I97" s="455">
        <f t="shared" si="16"/>
        <v>47095.775188897904</v>
      </c>
      <c r="J97" s="455">
        <f t="shared" si="14"/>
        <v>47095.775188897904</v>
      </c>
    </row>
    <row r="98" spans="1:10" ht="15" customHeight="1">
      <c r="A98" s="1430">
        <v>6</v>
      </c>
      <c r="B98" s="279"/>
      <c r="C98" s="477" t="s">
        <v>1932</v>
      </c>
      <c r="D98" s="478"/>
      <c r="E98" s="479"/>
      <c r="F98" s="479"/>
      <c r="G98" s="479"/>
      <c r="H98" s="444">
        <f>H99+H100</f>
        <v>120761.61</v>
      </c>
      <c r="I98" s="444">
        <f>I99+I100</f>
        <v>128500.61</v>
      </c>
      <c r="J98" s="444">
        <f>J99+J100</f>
        <v>136497.61</v>
      </c>
    </row>
    <row r="99" spans="1:11" ht="13.5" customHeight="1">
      <c r="A99" s="1430"/>
      <c r="B99" s="480" t="s">
        <v>1048</v>
      </c>
      <c r="C99" s="481" t="s">
        <v>1933</v>
      </c>
      <c r="D99" s="442"/>
      <c r="E99" s="482"/>
      <c r="F99" s="482"/>
      <c r="G99" s="482"/>
      <c r="H99" s="1171">
        <v>41020</v>
      </c>
      <c r="I99" s="1171">
        <v>48759</v>
      </c>
      <c r="J99" s="1171">
        <v>56756</v>
      </c>
      <c r="K99" s="483"/>
    </row>
    <row r="100" spans="1:12" ht="27.75" customHeight="1">
      <c r="A100" s="1430"/>
      <c r="B100" s="484" t="s">
        <v>1072</v>
      </c>
      <c r="C100" s="485" t="s">
        <v>1934</v>
      </c>
      <c r="D100" s="486"/>
      <c r="E100" s="487"/>
      <c r="F100" s="487"/>
      <c r="G100" s="487"/>
      <c r="H100" s="1171">
        <f>21107.78+(3*19544.61)</f>
        <v>79741.61</v>
      </c>
      <c r="I100" s="1171">
        <f>+H100</f>
        <v>79741.61</v>
      </c>
      <c r="J100" s="1171">
        <f>+H100</f>
        <v>79741.61</v>
      </c>
      <c r="K100" s="483"/>
      <c r="L100" s="488"/>
    </row>
    <row r="101" spans="1:10" ht="38.25">
      <c r="A101" s="1415">
        <v>7</v>
      </c>
      <c r="B101" s="399"/>
      <c r="C101" s="396" t="s">
        <v>1935</v>
      </c>
      <c r="D101" s="478"/>
      <c r="E101" s="478"/>
      <c r="F101" s="489"/>
      <c r="G101" s="489"/>
      <c r="H101" s="489"/>
      <c r="I101" s="489"/>
      <c r="J101" s="490"/>
    </row>
    <row r="102" spans="1:11" ht="12.75">
      <c r="A102" s="1416"/>
      <c r="B102" s="480" t="s">
        <v>1048</v>
      </c>
      <c r="C102" s="481" t="s">
        <v>1936</v>
      </c>
      <c r="D102" s="442"/>
      <c r="E102" s="482"/>
      <c r="F102" s="482"/>
      <c r="G102" s="482"/>
      <c r="H102" s="1171">
        <f>1.1*1.1*1643*1.2*1.1*1.1797*1.1402*0.9368</f>
        <v>3306.711936618006</v>
      </c>
      <c r="I102" s="1171">
        <f>1.1*1.1*4713*1.2*1.1*1.1797*1.1402*0.9368</f>
        <v>9485.412877224991</v>
      </c>
      <c r="J102" s="1171">
        <f>1.1*7379*1.2*1.1*1.1797*1.1402*0.9368</f>
        <v>13500.928113929212</v>
      </c>
      <c r="K102" s="373"/>
    </row>
    <row r="103" spans="1:11" ht="12.75">
      <c r="A103" s="1417"/>
      <c r="B103" s="270" t="s">
        <v>1072</v>
      </c>
      <c r="C103" s="254" t="s">
        <v>1937</v>
      </c>
      <c r="D103" s="465"/>
      <c r="E103" s="454"/>
      <c r="F103" s="454"/>
      <c r="G103" s="454"/>
      <c r="H103" s="409">
        <f>1.1*1.1*3842*1.2*1.1*1.1797*1.1402*0.9368</f>
        <v>7732.432903521837</v>
      </c>
      <c r="I103" s="409">
        <f>1.1*1.1*4800*1.2*1.1*1.1797*1.1402*0.9368</f>
        <v>9660.509613978353</v>
      </c>
      <c r="J103" s="409">
        <f>1.1*5999*1.2*1.1*1.1797*1.1402*0.9368</f>
        <v>10976.022192093962</v>
      </c>
      <c r="K103" s="373"/>
    </row>
    <row r="104" spans="1:12" ht="13.5">
      <c r="A104" s="284">
        <v>8</v>
      </c>
      <c r="B104" s="289"/>
      <c r="C104" s="491" t="s">
        <v>1938</v>
      </c>
      <c r="D104" s="447"/>
      <c r="E104" s="443"/>
      <c r="F104" s="443"/>
      <c r="G104" s="443"/>
      <c r="H104" s="287">
        <f>H88+H89+H90+H91+H92+H93+H94+H95+H96+H97+H98+H102+H103</f>
        <v>3063365.745225526</v>
      </c>
      <c r="I104" s="287">
        <f>I88+I89+I90+I91+I92+I93+I94+I95+I96+I97+I98+I102+I103</f>
        <v>4801482.372876592</v>
      </c>
      <c r="J104" s="287">
        <f>J88+J89+J90+J91+J92+J93+J94+J95+J96+J97+J98+J102+J103</f>
        <v>5793420.03069141</v>
      </c>
      <c r="K104" s="324"/>
      <c r="L104" s="373"/>
    </row>
    <row r="105" spans="1:11" ht="27.75" customHeight="1">
      <c r="A105" s="472">
        <v>9</v>
      </c>
      <c r="B105" s="384"/>
      <c r="C105" s="463" t="s">
        <v>773</v>
      </c>
      <c r="D105" s="492"/>
      <c r="E105" s="493"/>
      <c r="F105" s="276">
        <v>0.11</v>
      </c>
      <c r="G105" s="358"/>
      <c r="H105" s="271">
        <f>H88*F105</f>
        <v>274726.534324</v>
      </c>
      <c r="I105" s="271">
        <f>I88*F105</f>
        <v>448533.68432400003</v>
      </c>
      <c r="J105" s="271">
        <f>J88*F105</f>
        <v>547292.454324</v>
      </c>
      <c r="K105" s="324"/>
    </row>
    <row r="106" spans="1:10" ht="13.5">
      <c r="A106" s="494">
        <v>10</v>
      </c>
      <c r="B106" s="384"/>
      <c r="C106" s="394" t="s">
        <v>1009</v>
      </c>
      <c r="D106" s="495"/>
      <c r="E106" s="496"/>
      <c r="F106" s="497"/>
      <c r="G106" s="497"/>
      <c r="H106" s="498">
        <f>H104+H105</f>
        <v>3338092.279549526</v>
      </c>
      <c r="I106" s="498">
        <f>I104+I105</f>
        <v>5250016.057200592</v>
      </c>
      <c r="J106" s="498">
        <f>J104+J105</f>
        <v>6340712.485015411</v>
      </c>
    </row>
    <row r="107" spans="1:11" ht="13.5">
      <c r="A107" s="499">
        <v>11</v>
      </c>
      <c r="B107" s="384"/>
      <c r="C107" s="500" t="s">
        <v>1939</v>
      </c>
      <c r="D107" s="495"/>
      <c r="E107" s="496"/>
      <c r="F107" s="496"/>
      <c r="G107" s="496"/>
      <c r="H107" s="1172">
        <f>ROUND(H106,0)</f>
        <v>3338092</v>
      </c>
      <c r="I107" s="1172">
        <f>ROUND(I106,0)</f>
        <v>5250016</v>
      </c>
      <c r="J107" s="1172">
        <f>ROUND(J106,0)</f>
        <v>6340712</v>
      </c>
      <c r="K107" s="373"/>
    </row>
    <row r="108" spans="3:10" ht="12.75">
      <c r="C108" s="501"/>
      <c r="D108" s="502"/>
      <c r="E108" s="502"/>
      <c r="F108" s="502"/>
      <c r="G108" s="502"/>
      <c r="H108" s="502"/>
      <c r="I108" s="502"/>
      <c r="J108" s="502"/>
    </row>
    <row r="109" spans="1:10" ht="12.75" customHeight="1">
      <c r="A109" s="503" t="s">
        <v>1075</v>
      </c>
      <c r="B109" s="375"/>
      <c r="C109" s="1431" t="s">
        <v>1940</v>
      </c>
      <c r="D109" s="1431"/>
      <c r="E109" s="1431"/>
      <c r="F109" s="1431"/>
      <c r="G109" s="1431"/>
      <c r="H109" s="1431"/>
      <c r="I109" s="1431"/>
      <c r="J109" s="1431"/>
    </row>
    <row r="110" spans="1:12" ht="15.75" customHeight="1">
      <c r="A110" s="375"/>
      <c r="C110" s="1431" t="s">
        <v>2106</v>
      </c>
      <c r="D110" s="1431"/>
      <c r="E110" s="1431"/>
      <c r="F110" s="1431"/>
      <c r="G110" s="1431"/>
      <c r="H110" s="1431"/>
      <c r="I110" s="1431"/>
      <c r="J110" s="1431"/>
      <c r="K110" s="376"/>
      <c r="L110" s="376"/>
    </row>
    <row r="111" spans="1:10" ht="12.75">
      <c r="A111" s="107"/>
      <c r="B111" s="107"/>
      <c r="C111" s="107"/>
      <c r="D111" s="107"/>
      <c r="E111" s="107"/>
      <c r="F111" s="107"/>
      <c r="G111" s="107"/>
      <c r="H111" s="107"/>
      <c r="I111" s="107"/>
      <c r="J111" s="107"/>
    </row>
    <row r="112" spans="1:10" ht="12.75">
      <c r="A112" s="107"/>
      <c r="B112" s="107"/>
      <c r="C112" s="107"/>
      <c r="D112" s="107"/>
      <c r="E112" s="107"/>
      <c r="F112" s="107"/>
      <c r="G112" s="107"/>
      <c r="H112" s="107"/>
      <c r="I112" s="107"/>
      <c r="J112" s="107"/>
    </row>
    <row r="113" spans="1:10" ht="12.75">
      <c r="A113" s="107"/>
      <c r="B113" s="107"/>
      <c r="C113" s="107"/>
      <c r="D113" s="107"/>
      <c r="E113" s="107"/>
      <c r="F113" s="107"/>
      <c r="G113" s="107"/>
      <c r="H113" s="107"/>
      <c r="I113" s="107"/>
      <c r="J113" s="107"/>
    </row>
    <row r="114" spans="1:10" ht="12.75">
      <c r="A114" s="107"/>
      <c r="B114" s="107"/>
      <c r="C114" s="107"/>
      <c r="D114" s="107"/>
      <c r="E114" s="107"/>
      <c r="F114" s="107"/>
      <c r="G114" s="107"/>
      <c r="H114" s="107"/>
      <c r="I114" s="107"/>
      <c r="J114" s="107"/>
    </row>
    <row r="115" spans="1:10" ht="12.75">
      <c r="A115" s="107"/>
      <c r="B115" s="107"/>
      <c r="C115" s="107"/>
      <c r="D115" s="107"/>
      <c r="E115" s="107"/>
      <c r="F115" s="107"/>
      <c r="G115" s="107"/>
      <c r="H115" s="107"/>
      <c r="I115" s="107"/>
      <c r="J115" s="107"/>
    </row>
    <row r="116" spans="1:10" ht="12.75">
      <c r="A116" s="107"/>
      <c r="B116" s="107"/>
      <c r="C116" s="107"/>
      <c r="D116" s="107"/>
      <c r="E116" s="107"/>
      <c r="F116" s="107"/>
      <c r="G116" s="107"/>
      <c r="H116" s="107"/>
      <c r="I116" s="107"/>
      <c r="J116" s="107"/>
    </row>
    <row r="117" spans="1:10" ht="12.75">
      <c r="A117" s="107"/>
      <c r="B117" s="107"/>
      <c r="C117" s="107"/>
      <c r="D117" s="107"/>
      <c r="E117" s="107"/>
      <c r="F117" s="107"/>
      <c r="G117" s="107"/>
      <c r="H117" s="107"/>
      <c r="I117" s="107"/>
      <c r="J117" s="107"/>
    </row>
    <row r="118" spans="1:10" ht="12.75">
      <c r="A118" s="107"/>
      <c r="B118" s="107"/>
      <c r="C118" s="107"/>
      <c r="D118" s="107"/>
      <c r="E118" s="107"/>
      <c r="F118" s="107"/>
      <c r="G118" s="107"/>
      <c r="H118" s="504"/>
      <c r="I118" s="107"/>
      <c r="J118" s="107"/>
    </row>
    <row r="122" ht="15.75">
      <c r="C122" s="916" t="s">
        <v>904</v>
      </c>
    </row>
    <row r="124" spans="3:5" ht="14.25">
      <c r="C124" s="290" t="s">
        <v>1991</v>
      </c>
      <c r="D124" s="266">
        <v>7130820158</v>
      </c>
      <c r="E124" s="241" t="s">
        <v>1130</v>
      </c>
    </row>
    <row r="125" spans="3:5" ht="14.25">
      <c r="C125" s="290" t="s">
        <v>629</v>
      </c>
      <c r="D125" s="266">
        <v>7130820155</v>
      </c>
      <c r="E125" s="241" t="s">
        <v>1130</v>
      </c>
    </row>
  </sheetData>
  <sheetProtection/>
  <mergeCells count="33">
    <mergeCell ref="A89:A97"/>
    <mergeCell ref="B90:B97"/>
    <mergeCell ref="A98:A100"/>
    <mergeCell ref="A101:A103"/>
    <mergeCell ref="C109:J109"/>
    <mergeCell ref="C110:J110"/>
    <mergeCell ref="A38:A61"/>
    <mergeCell ref="B40:B42"/>
    <mergeCell ref="B43:B47"/>
    <mergeCell ref="B54:B60"/>
    <mergeCell ref="A62:A87"/>
    <mergeCell ref="B68:B71"/>
    <mergeCell ref="B72:B80"/>
    <mergeCell ref="B81:B87"/>
    <mergeCell ref="H5:J5"/>
    <mergeCell ref="A5:A6"/>
    <mergeCell ref="B5:B6"/>
    <mergeCell ref="B7:C7"/>
    <mergeCell ref="A8:A37"/>
    <mergeCell ref="B9:B12"/>
    <mergeCell ref="B13:B16"/>
    <mergeCell ref="B17:B20"/>
    <mergeCell ref="B21:B24"/>
    <mergeCell ref="D1:G1"/>
    <mergeCell ref="D2:G2"/>
    <mergeCell ref="I2:J2"/>
    <mergeCell ref="C3:H3"/>
    <mergeCell ref="A4:J4"/>
    <mergeCell ref="C5:C6"/>
    <mergeCell ref="D5:D6"/>
    <mergeCell ref="E5:E6"/>
    <mergeCell ref="F5:F6"/>
    <mergeCell ref="G5:G6"/>
  </mergeCells>
  <printOptions/>
  <pageMargins left="0.7" right="0.15" top="0.75" bottom="1" header="0.5" footer="0.5"/>
  <pageSetup horizontalDpi="600" verticalDpi="600" orientation="landscape" scale="97" r:id="rId2"/>
  <drawing r:id="rId1"/>
</worksheet>
</file>

<file path=xl/worksheets/sheet19.xml><?xml version="1.0" encoding="utf-8"?>
<worksheet xmlns="http://schemas.openxmlformats.org/spreadsheetml/2006/main" xmlns:r="http://schemas.openxmlformats.org/officeDocument/2006/relationships">
  <sheetPr>
    <tabColor indexed="11"/>
  </sheetPr>
  <dimension ref="A1:M78"/>
  <sheetViews>
    <sheetView zoomScaleSheetLayoutView="85" zoomScalePageLayoutView="0" workbookViewId="0" topLeftCell="A1">
      <pane xSplit="5" ySplit="10" topLeftCell="F11" activePane="bottomRight" state="frozen"/>
      <selection pane="topLeft" activeCell="A1" sqref="A1"/>
      <selection pane="topRight" activeCell="F1" sqref="F1"/>
      <selection pane="bottomLeft" activeCell="A11" sqref="A11"/>
      <selection pane="bottomRight" activeCell="A1" sqref="A1"/>
    </sheetView>
  </sheetViews>
  <sheetFormatPr defaultColWidth="9.140625" defaultRowHeight="12.75"/>
  <cols>
    <col min="1" max="1" width="5.140625" style="79" customWidth="1"/>
    <col min="2" max="2" width="3.57421875" style="2" customWidth="1"/>
    <col min="3" max="3" width="46.421875" style="2" customWidth="1"/>
    <col min="4" max="4" width="12.28125" style="2" customWidth="1"/>
    <col min="5" max="5" width="5.57421875" style="79" customWidth="1"/>
    <col min="6" max="6" width="10.7109375" style="2" customWidth="1"/>
    <col min="7" max="7" width="6.28125" style="2" customWidth="1"/>
    <col min="8" max="8" width="12.8515625" style="2" customWidth="1"/>
    <col min="9" max="9" width="15.7109375" style="2" customWidth="1"/>
    <col min="10" max="10" width="23.28125" style="2" customWidth="1"/>
    <col min="11" max="11" width="12.140625" style="2" customWidth="1"/>
    <col min="12" max="12" width="5.140625" style="2" customWidth="1"/>
    <col min="13" max="13" width="14.00390625" style="2" customWidth="1"/>
    <col min="14" max="16384" width="9.140625" style="2" customWidth="1"/>
  </cols>
  <sheetData>
    <row r="1" spans="1:8" ht="18">
      <c r="A1" s="179"/>
      <c r="B1" s="80"/>
      <c r="C1" s="1279" t="s">
        <v>2107</v>
      </c>
      <c r="D1" s="1279"/>
      <c r="E1" s="1279"/>
      <c r="F1" s="1279"/>
      <c r="G1" s="80"/>
      <c r="H1" s="80"/>
    </row>
    <row r="2" spans="1:8" ht="12.75">
      <c r="A2" s="179"/>
      <c r="B2" s="379"/>
      <c r="C2" s="1445" t="s">
        <v>900</v>
      </c>
      <c r="D2" s="1445"/>
      <c r="E2" s="1445"/>
      <c r="F2" s="379"/>
      <c r="G2" s="379"/>
      <c r="H2" s="379"/>
    </row>
    <row r="3" spans="1:7" ht="12.75">
      <c r="A3" s="505"/>
      <c r="B3" s="505"/>
      <c r="C3" s="505"/>
      <c r="D3" s="505"/>
      <c r="E3" s="505"/>
      <c r="F3" s="505"/>
      <c r="G3" s="505"/>
    </row>
    <row r="4" spans="2:8" ht="15">
      <c r="B4" s="343"/>
      <c r="C4" s="1404" t="s">
        <v>1102</v>
      </c>
      <c r="D4" s="1404"/>
      <c r="E4" s="1404"/>
      <c r="F4" s="1404"/>
      <c r="G4" s="1404"/>
      <c r="H4" s="1404"/>
    </row>
    <row r="6" spans="1:8" ht="15">
      <c r="A6" s="37"/>
      <c r="B6" s="37"/>
      <c r="C6" s="37"/>
      <c r="D6" s="37"/>
      <c r="E6" s="37"/>
      <c r="F6" s="37"/>
      <c r="G6" s="37"/>
      <c r="H6" s="897" t="s">
        <v>1153</v>
      </c>
    </row>
    <row r="7" spans="1:8" ht="15">
      <c r="A7" s="37"/>
      <c r="B7" s="37"/>
      <c r="C7" s="37"/>
      <c r="D7" s="37"/>
      <c r="E7" s="37"/>
      <c r="F7" s="37"/>
      <c r="G7" s="37"/>
      <c r="H7" s="37"/>
    </row>
    <row r="8" spans="1:8" ht="15" customHeight="1">
      <c r="A8" s="1322" t="s">
        <v>1947</v>
      </c>
      <c r="B8" s="1434" t="s">
        <v>1057</v>
      </c>
      <c r="C8" s="1435"/>
      <c r="D8" s="1349" t="s">
        <v>1331</v>
      </c>
      <c r="E8" s="1347" t="s">
        <v>1058</v>
      </c>
      <c r="F8" s="1347" t="s">
        <v>901</v>
      </c>
      <c r="G8" s="1447" t="s">
        <v>1103</v>
      </c>
      <c r="H8" s="1447"/>
    </row>
    <row r="9" spans="1:8" ht="16.5" customHeight="1">
      <c r="A9" s="1323"/>
      <c r="B9" s="1436"/>
      <c r="C9" s="1437"/>
      <c r="D9" s="1438"/>
      <c r="E9" s="1348"/>
      <c r="F9" s="1446"/>
      <c r="G9" s="83" t="s">
        <v>1060</v>
      </c>
      <c r="H9" s="83" t="s">
        <v>1019</v>
      </c>
    </row>
    <row r="10" spans="1:8" ht="12.75">
      <c r="A10" s="284">
        <v>1</v>
      </c>
      <c r="B10" s="1432">
        <v>2</v>
      </c>
      <c r="C10" s="1433"/>
      <c r="D10" s="284">
        <v>3</v>
      </c>
      <c r="E10" s="284">
        <v>4</v>
      </c>
      <c r="F10" s="284">
        <v>5</v>
      </c>
      <c r="G10" s="284">
        <v>6</v>
      </c>
      <c r="H10" s="507">
        <v>7</v>
      </c>
    </row>
    <row r="11" spans="1:8" ht="31.5" customHeight="1">
      <c r="A11" s="508">
        <v>1</v>
      </c>
      <c r="B11" s="509"/>
      <c r="C11" s="510" t="s">
        <v>1104</v>
      </c>
      <c r="D11" s="511">
        <v>7130601958</v>
      </c>
      <c r="E11" s="508" t="s">
        <v>1070</v>
      </c>
      <c r="F11" s="512">
        <f>VLOOKUP(D11,'SOR RATE'!A:D,4,0)/1000</f>
        <v>44.989</v>
      </c>
      <c r="G11" s="513">
        <v>593.6</v>
      </c>
      <c r="H11" s="512">
        <f>G11*F11</f>
        <v>26705.4704</v>
      </c>
    </row>
    <row r="12" spans="1:10" ht="47.25" customHeight="1">
      <c r="A12" s="508">
        <v>2</v>
      </c>
      <c r="B12" s="509"/>
      <c r="C12" s="514" t="s">
        <v>1105</v>
      </c>
      <c r="D12" s="511">
        <v>7130601965</v>
      </c>
      <c r="E12" s="508" t="s">
        <v>1070</v>
      </c>
      <c r="F12" s="512">
        <f>VLOOKUP(D12,'SOR RATE'!A:D,4,0)/1000</f>
        <v>44.989</v>
      </c>
      <c r="G12" s="508">
        <v>816.2</v>
      </c>
      <c r="H12" s="512">
        <f>G12*F12</f>
        <v>36720.0218</v>
      </c>
      <c r="J12" s="516" t="s">
        <v>1106</v>
      </c>
    </row>
    <row r="13" spans="1:8" ht="27.75" customHeight="1">
      <c r="A13" s="517">
        <v>3</v>
      </c>
      <c r="B13" s="518"/>
      <c r="C13" s="519" t="s">
        <v>1107</v>
      </c>
      <c r="D13" s="263">
        <v>7130810684</v>
      </c>
      <c r="E13" s="338" t="s">
        <v>1022</v>
      </c>
      <c r="F13" s="265">
        <f>VLOOKUP(D13,'SOR RATE'!A:D,4,0)</f>
        <v>8457</v>
      </c>
      <c r="G13" s="338">
        <v>6</v>
      </c>
      <c r="H13" s="265">
        <f>G13*F13</f>
        <v>50742</v>
      </c>
    </row>
    <row r="14" spans="1:8" ht="29.25" customHeight="1">
      <c r="A14" s="517">
        <v>4</v>
      </c>
      <c r="B14" s="518"/>
      <c r="C14" s="519" t="s">
        <v>1108</v>
      </c>
      <c r="D14" s="263">
        <v>7130810517</v>
      </c>
      <c r="E14" s="338" t="s">
        <v>1022</v>
      </c>
      <c r="F14" s="265">
        <f>VLOOKUP(D14,'SOR RATE'!A:D,4,0)</f>
        <v>4547</v>
      </c>
      <c r="G14" s="338">
        <v>2</v>
      </c>
      <c r="H14" s="265">
        <f>G14*F14</f>
        <v>9094</v>
      </c>
    </row>
    <row r="15" spans="1:8" ht="30" customHeight="1">
      <c r="A15" s="1439">
        <v>5</v>
      </c>
      <c r="B15" s="197"/>
      <c r="C15" s="520" t="s">
        <v>1408</v>
      </c>
      <c r="D15" s="521"/>
      <c r="E15" s="517" t="s">
        <v>1022</v>
      </c>
      <c r="F15" s="512"/>
      <c r="G15" s="517">
        <v>21</v>
      </c>
      <c r="H15" s="512"/>
    </row>
    <row r="16" spans="1:10" ht="15" customHeight="1">
      <c r="A16" s="1440"/>
      <c r="B16" s="523" t="s">
        <v>1582</v>
      </c>
      <c r="C16" s="524" t="s">
        <v>902</v>
      </c>
      <c r="D16" s="511">
        <v>7130820010</v>
      </c>
      <c r="E16" s="508" t="s">
        <v>1061</v>
      </c>
      <c r="F16" s="512">
        <f>VLOOKUP(D16,'SOR RATE'!A:D,4,0)</f>
        <v>140</v>
      </c>
      <c r="G16" s="508">
        <v>42</v>
      </c>
      <c r="H16" s="512">
        <f aca="true" t="shared" si="0" ref="H16:H21">G16*F16</f>
        <v>5880</v>
      </c>
      <c r="J16" s="2" t="s">
        <v>1256</v>
      </c>
    </row>
    <row r="17" spans="1:8" ht="29.25" customHeight="1">
      <c r="A17" s="1441"/>
      <c r="B17" s="523" t="s">
        <v>998</v>
      </c>
      <c r="C17" s="510" t="s">
        <v>1409</v>
      </c>
      <c r="D17" s="511">
        <v>7130820248</v>
      </c>
      <c r="E17" s="508" t="s">
        <v>1061</v>
      </c>
      <c r="F17" s="512">
        <f>VLOOKUP(D17,'SOR RATE'!A:D,4,0)</f>
        <v>255</v>
      </c>
      <c r="G17" s="508">
        <v>21</v>
      </c>
      <c r="H17" s="512">
        <f t="shared" si="0"/>
        <v>5355</v>
      </c>
    </row>
    <row r="18" spans="1:10" ht="15.75" customHeight="1">
      <c r="A18" s="508">
        <v>6</v>
      </c>
      <c r="B18" s="509"/>
      <c r="C18" s="526" t="s">
        <v>1499</v>
      </c>
      <c r="D18" s="511">
        <v>7130820008</v>
      </c>
      <c r="E18" s="508" t="s">
        <v>1130</v>
      </c>
      <c r="F18" s="512">
        <f>VLOOKUP(D18,'SOR RATE'!A:D,4,0)</f>
        <v>157</v>
      </c>
      <c r="G18" s="508">
        <v>3</v>
      </c>
      <c r="H18" s="512">
        <f t="shared" si="0"/>
        <v>471</v>
      </c>
      <c r="J18" s="2" t="s">
        <v>903</v>
      </c>
    </row>
    <row r="19" spans="1:10" ht="14.25">
      <c r="A19" s="508">
        <v>7</v>
      </c>
      <c r="B19" s="509"/>
      <c r="C19" s="524" t="s">
        <v>961</v>
      </c>
      <c r="D19" s="511">
        <v>7130840029</v>
      </c>
      <c r="E19" s="523" t="s">
        <v>1130</v>
      </c>
      <c r="F19" s="512">
        <f>VLOOKUP(D19,'SOR RATE'!A:D,4,0)</f>
        <v>425</v>
      </c>
      <c r="G19" s="523">
        <v>3</v>
      </c>
      <c r="H19" s="512">
        <f t="shared" si="0"/>
        <v>1275</v>
      </c>
      <c r="J19" s="2" t="s">
        <v>906</v>
      </c>
    </row>
    <row r="20" spans="1:8" ht="14.25">
      <c r="A20" s="508">
        <v>8</v>
      </c>
      <c r="B20" s="509"/>
      <c r="C20" s="524" t="s">
        <v>1411</v>
      </c>
      <c r="D20" s="511">
        <v>7131930663</v>
      </c>
      <c r="E20" s="523" t="s">
        <v>1022</v>
      </c>
      <c r="F20" s="512">
        <f>VLOOKUP(D20,'SOR RATE'!A:D,4,0)</f>
        <v>20680</v>
      </c>
      <c r="G20" s="523">
        <v>2</v>
      </c>
      <c r="H20" s="512">
        <f t="shared" si="0"/>
        <v>41360</v>
      </c>
    </row>
    <row r="21" spans="1:8" ht="14.25">
      <c r="A21" s="508">
        <v>9</v>
      </c>
      <c r="B21" s="509"/>
      <c r="C21" s="524" t="s">
        <v>1527</v>
      </c>
      <c r="D21" s="511">
        <v>7131930221</v>
      </c>
      <c r="E21" s="523" t="s">
        <v>1130</v>
      </c>
      <c r="F21" s="512">
        <f>VLOOKUP(D21,'SOR RATE'!A:D,4,0)</f>
        <v>7750</v>
      </c>
      <c r="G21" s="523">
        <v>1</v>
      </c>
      <c r="H21" s="512">
        <f t="shared" si="0"/>
        <v>7750</v>
      </c>
    </row>
    <row r="22" spans="1:8" ht="15">
      <c r="A22" s="1439">
        <v>10</v>
      </c>
      <c r="B22" s="1442" t="s">
        <v>1412</v>
      </c>
      <c r="C22" s="1443"/>
      <c r="D22" s="521"/>
      <c r="E22" s="523" t="s">
        <v>1065</v>
      </c>
      <c r="F22" s="525"/>
      <c r="G22" s="523"/>
      <c r="H22" s="512"/>
    </row>
    <row r="23" spans="1:11" ht="14.25">
      <c r="A23" s="1441"/>
      <c r="B23" s="528" t="s">
        <v>1582</v>
      </c>
      <c r="C23" s="524" t="s">
        <v>1029</v>
      </c>
      <c r="D23" s="511">
        <v>7130200401</v>
      </c>
      <c r="E23" s="523" t="s">
        <v>1070</v>
      </c>
      <c r="F23" s="512">
        <f>VLOOKUP(D23,'SOR RATE'!A:D,4,0)/50</f>
        <v>5.36</v>
      </c>
      <c r="G23" s="523">
        <v>374.4</v>
      </c>
      <c r="H23" s="512">
        <f>G23*F23</f>
        <v>2006.784</v>
      </c>
      <c r="J23" s="1444"/>
      <c r="K23" s="1444"/>
    </row>
    <row r="24" spans="1:8" ht="14.25">
      <c r="A24" s="508">
        <v>11</v>
      </c>
      <c r="B24" s="509"/>
      <c r="C24" s="524" t="s">
        <v>1413</v>
      </c>
      <c r="D24" s="511">
        <v>7130830063</v>
      </c>
      <c r="E24" s="523" t="s">
        <v>1322</v>
      </c>
      <c r="F24" s="512">
        <f>VLOOKUP(D24,'SOR RATE'!A:D,4,0)/1000</f>
        <v>64.842</v>
      </c>
      <c r="G24" s="523">
        <v>50</v>
      </c>
      <c r="H24" s="512">
        <f>G24*F24</f>
        <v>3242.1</v>
      </c>
    </row>
    <row r="25" spans="1:8" ht="28.5" customHeight="1">
      <c r="A25" s="517">
        <v>12</v>
      </c>
      <c r="B25" s="518"/>
      <c r="C25" s="519" t="s">
        <v>1414</v>
      </c>
      <c r="D25" s="263">
        <v>7130830585</v>
      </c>
      <c r="E25" s="338" t="s">
        <v>1061</v>
      </c>
      <c r="F25" s="265">
        <f>VLOOKUP(D25,'SOR RATE'!A:D,4,0)</f>
        <v>239</v>
      </c>
      <c r="G25" s="338">
        <v>24</v>
      </c>
      <c r="H25" s="265">
        <f>G25*F25</f>
        <v>5736</v>
      </c>
    </row>
    <row r="26" spans="1:8" ht="45.75" customHeight="1">
      <c r="A26" s="1439">
        <v>13</v>
      </c>
      <c r="B26" s="509"/>
      <c r="C26" s="529" t="s">
        <v>1415</v>
      </c>
      <c r="D26" s="521"/>
      <c r="E26" s="508" t="s">
        <v>1061</v>
      </c>
      <c r="F26" s="1173">
        <f>H27+H28+H29</f>
        <v>163777</v>
      </c>
      <c r="G26" s="530">
        <v>1</v>
      </c>
      <c r="H26" s="512"/>
    </row>
    <row r="27" spans="1:13" ht="15" customHeight="1">
      <c r="A27" s="1440"/>
      <c r="B27" s="523" t="s">
        <v>1582</v>
      </c>
      <c r="C27" s="531" t="s">
        <v>1416</v>
      </c>
      <c r="D27" s="532">
        <v>7131941762</v>
      </c>
      <c r="E27" s="523" t="s">
        <v>1061</v>
      </c>
      <c r="F27" s="512">
        <f>VLOOKUP(D27,'SOR RATE'!A:D,4,0)</f>
        <v>110737</v>
      </c>
      <c r="G27" s="338">
        <v>1</v>
      </c>
      <c r="H27" s="265">
        <f>G27*F27</f>
        <v>110737</v>
      </c>
      <c r="J27" s="533"/>
      <c r="K27" s="534"/>
      <c r="L27" s="535"/>
      <c r="M27" s="536"/>
    </row>
    <row r="28" spans="1:13" ht="15" customHeight="1">
      <c r="A28" s="1440"/>
      <c r="B28" s="523" t="s">
        <v>998</v>
      </c>
      <c r="C28" s="519" t="s">
        <v>1417</v>
      </c>
      <c r="D28" s="532">
        <v>7131960008</v>
      </c>
      <c r="E28" s="338" t="s">
        <v>1061</v>
      </c>
      <c r="F28" s="512">
        <f>VLOOKUP(D28,'SOR RATE'!A:D,4,0)</f>
        <v>26331</v>
      </c>
      <c r="G28" s="338">
        <v>1</v>
      </c>
      <c r="H28" s="265">
        <f>G28*F28</f>
        <v>26331</v>
      </c>
      <c r="J28" s="301" t="s">
        <v>153</v>
      </c>
      <c r="K28" s="534"/>
      <c r="L28" s="535"/>
      <c r="M28" s="536"/>
    </row>
    <row r="29" spans="1:13" ht="14.25">
      <c r="A29" s="1440"/>
      <c r="B29" s="523" t="s">
        <v>1000</v>
      </c>
      <c r="C29" s="524" t="s">
        <v>1586</v>
      </c>
      <c r="D29" s="511">
        <v>7132230188</v>
      </c>
      <c r="E29" s="523" t="s">
        <v>1061</v>
      </c>
      <c r="F29" s="512">
        <f>VLOOKUP(D29,'SOR RATE'!A:D,4,0)</f>
        <v>8903</v>
      </c>
      <c r="G29" s="338">
        <v>3</v>
      </c>
      <c r="H29" s="265">
        <f>G29*F29</f>
        <v>26709</v>
      </c>
      <c r="J29" s="533"/>
      <c r="K29" s="534"/>
      <c r="L29" s="535"/>
      <c r="M29" s="536"/>
    </row>
    <row r="30" spans="1:13" ht="14.25">
      <c r="A30" s="1441"/>
      <c r="B30" s="537" t="s">
        <v>1587</v>
      </c>
      <c r="C30" s="337" t="s">
        <v>1571</v>
      </c>
      <c r="D30" s="263">
        <v>7130352046</v>
      </c>
      <c r="E30" s="261" t="s">
        <v>1023</v>
      </c>
      <c r="F30" s="512">
        <f>VLOOKUP(D30,'SOR RATE'!A:D,4,0)</f>
        <v>3096</v>
      </c>
      <c r="G30" s="338">
        <v>1</v>
      </c>
      <c r="H30" s="265">
        <f>G30*F30</f>
        <v>3096</v>
      </c>
      <c r="J30" s="144"/>
      <c r="K30" s="534"/>
      <c r="L30" s="535"/>
      <c r="M30" s="536"/>
    </row>
    <row r="31" spans="1:8" ht="15">
      <c r="A31" s="1439">
        <v>14</v>
      </c>
      <c r="B31" s="509"/>
      <c r="C31" s="538" t="s">
        <v>1588</v>
      </c>
      <c r="D31" s="521"/>
      <c r="E31" s="523" t="s">
        <v>1065</v>
      </c>
      <c r="F31" s="525"/>
      <c r="G31" s="523">
        <v>6</v>
      </c>
      <c r="H31" s="512"/>
    </row>
    <row r="32" spans="1:8" ht="14.25">
      <c r="A32" s="1441"/>
      <c r="B32" s="509"/>
      <c r="C32" s="524" t="s">
        <v>1589</v>
      </c>
      <c r="D32" s="511">
        <v>7130200401</v>
      </c>
      <c r="E32" s="523" t="s">
        <v>1070</v>
      </c>
      <c r="F32" s="512">
        <f>VLOOKUP(D32,'SOR RATE'!A:D,4,0)/50</f>
        <v>5.36</v>
      </c>
      <c r="G32" s="523">
        <v>1248</v>
      </c>
      <c r="H32" s="512">
        <f>G32*F32</f>
        <v>6689.280000000001</v>
      </c>
    </row>
    <row r="33" spans="1:8" ht="15">
      <c r="A33" s="1439">
        <v>15</v>
      </c>
      <c r="B33" s="509"/>
      <c r="C33" s="538" t="s">
        <v>1590</v>
      </c>
      <c r="D33" s="539"/>
      <c r="E33" s="540"/>
      <c r="F33" s="540"/>
      <c r="G33" s="540"/>
      <c r="H33" s="541"/>
    </row>
    <row r="34" spans="1:13" ht="14.25">
      <c r="A34" s="1440"/>
      <c r="B34" s="508" t="s">
        <v>1556</v>
      </c>
      <c r="C34" s="524" t="s">
        <v>1557</v>
      </c>
      <c r="D34" s="521">
        <v>7130310658</v>
      </c>
      <c r="E34" s="523" t="s">
        <v>1322</v>
      </c>
      <c r="F34" s="512">
        <f>VLOOKUP(D34,'SOR RATE'!A:D,4,0)/1000</f>
        <v>125.719</v>
      </c>
      <c r="G34" s="523">
        <v>60</v>
      </c>
      <c r="H34" s="512">
        <f>G34*F34</f>
        <v>7543.139999999999</v>
      </c>
      <c r="J34" s="145"/>
      <c r="K34" s="145"/>
      <c r="L34" s="145"/>
      <c r="M34" s="145"/>
    </row>
    <row r="35" spans="1:13" ht="14.25">
      <c r="A35" s="1440"/>
      <c r="B35" s="508" t="s">
        <v>1558</v>
      </c>
      <c r="C35" s="524" t="s">
        <v>1559</v>
      </c>
      <c r="D35" s="521">
        <v>7130310654</v>
      </c>
      <c r="E35" s="523" t="s">
        <v>1322</v>
      </c>
      <c r="F35" s="512">
        <f>VLOOKUP(D35,'SOR RATE'!A:D,4,0)/1000</f>
        <v>67.671</v>
      </c>
      <c r="G35" s="523">
        <v>120</v>
      </c>
      <c r="H35" s="512">
        <f>G35*F35</f>
        <v>8120.52</v>
      </c>
      <c r="J35" s="145"/>
      <c r="K35" s="145"/>
      <c r="L35" s="145"/>
      <c r="M35" s="145"/>
    </row>
    <row r="36" spans="1:13" ht="14.25">
      <c r="A36" s="1441"/>
      <c r="B36" s="508" t="s">
        <v>1560</v>
      </c>
      <c r="C36" s="524" t="s">
        <v>1591</v>
      </c>
      <c r="D36" s="521">
        <v>7130310652</v>
      </c>
      <c r="E36" s="523" t="s">
        <v>1322</v>
      </c>
      <c r="F36" s="512">
        <f>VLOOKUP(D36,'SOR RATE'!A:D,4,0)/1000</f>
        <v>39.708</v>
      </c>
      <c r="G36" s="523">
        <v>60</v>
      </c>
      <c r="H36" s="512">
        <f>G36*F36</f>
        <v>2382.48</v>
      </c>
      <c r="J36" s="145"/>
      <c r="K36" s="145"/>
      <c r="L36" s="145"/>
      <c r="M36" s="145"/>
    </row>
    <row r="37" spans="1:13" ht="30">
      <c r="A37" s="1449">
        <v>16</v>
      </c>
      <c r="B37" s="509"/>
      <c r="C37" s="543" t="s">
        <v>1592</v>
      </c>
      <c r="D37" s="521"/>
      <c r="E37" s="338" t="s">
        <v>1061</v>
      </c>
      <c r="F37" s="522">
        <f>+H38</f>
        <v>3970</v>
      </c>
      <c r="G37" s="544">
        <v>1</v>
      </c>
      <c r="H37" s="512"/>
      <c r="J37" s="545"/>
      <c r="K37" s="145"/>
      <c r="L37" s="145"/>
      <c r="M37" s="546"/>
    </row>
    <row r="38" spans="1:13" ht="17.25" customHeight="1">
      <c r="A38" s="1450"/>
      <c r="B38" s="518"/>
      <c r="C38" s="337" t="s">
        <v>1542</v>
      </c>
      <c r="D38" s="264">
        <v>7131310033</v>
      </c>
      <c r="E38" s="338" t="s">
        <v>1061</v>
      </c>
      <c r="F38" s="339">
        <f>VLOOKUP(D38,'SOR RATE'!A:D,4,0)</f>
        <v>3970</v>
      </c>
      <c r="G38" s="338">
        <v>1</v>
      </c>
      <c r="H38" s="265">
        <f>G38*F38</f>
        <v>3970</v>
      </c>
      <c r="J38" s="191"/>
      <c r="K38" s="191"/>
      <c r="L38" s="191"/>
      <c r="M38" s="177"/>
    </row>
    <row r="39" spans="1:13" ht="14.25" customHeight="1">
      <c r="A39" s="528">
        <v>17</v>
      </c>
      <c r="B39" s="518"/>
      <c r="C39" s="547" t="s">
        <v>1593</v>
      </c>
      <c r="D39" s="264">
        <v>7132230412</v>
      </c>
      <c r="E39" s="338" t="s">
        <v>1130</v>
      </c>
      <c r="F39" s="339">
        <f>VLOOKUP(D39,'SOR RATE'!A:D,4,0)</f>
        <v>29949</v>
      </c>
      <c r="G39" s="338">
        <v>1</v>
      </c>
      <c r="H39" s="265">
        <f>G39*F39</f>
        <v>29949</v>
      </c>
      <c r="J39" s="548"/>
      <c r="K39" s="549"/>
      <c r="L39" s="179"/>
      <c r="M39" s="177"/>
    </row>
    <row r="40" spans="1:8" ht="15">
      <c r="A40" s="1449">
        <v>18</v>
      </c>
      <c r="B40" s="509"/>
      <c r="C40" s="527" t="s">
        <v>1594</v>
      </c>
      <c r="D40" s="521"/>
      <c r="E40" s="523" t="s">
        <v>1070</v>
      </c>
      <c r="F40" s="525"/>
      <c r="G40" s="550">
        <v>30</v>
      </c>
      <c r="H40" s="512"/>
    </row>
    <row r="41" spans="1:8" ht="14.25">
      <c r="A41" s="1451"/>
      <c r="B41" s="528" t="s">
        <v>1556</v>
      </c>
      <c r="C41" s="531" t="s">
        <v>2025</v>
      </c>
      <c r="D41" s="521">
        <v>7130620609</v>
      </c>
      <c r="E41" s="523" t="s">
        <v>1070</v>
      </c>
      <c r="F41" s="512">
        <f>VLOOKUP(D41,'SOR RATE'!A:D,4,0)</f>
        <v>64</v>
      </c>
      <c r="G41" s="523">
        <v>3</v>
      </c>
      <c r="H41" s="512">
        <f aca="true" t="shared" si="1" ref="H41:H46">G41*F41</f>
        <v>192</v>
      </c>
    </row>
    <row r="42" spans="1:8" ht="14.25">
      <c r="A42" s="1451"/>
      <c r="B42" s="528" t="s">
        <v>1558</v>
      </c>
      <c r="C42" s="531" t="s">
        <v>2026</v>
      </c>
      <c r="D42" s="521">
        <v>7130620614</v>
      </c>
      <c r="E42" s="523" t="s">
        <v>1070</v>
      </c>
      <c r="F42" s="512">
        <f>VLOOKUP(D42,'SOR RATE'!A:D,4,0)</f>
        <v>63</v>
      </c>
      <c r="G42" s="523">
        <v>2</v>
      </c>
      <c r="H42" s="512">
        <f t="shared" si="1"/>
        <v>126</v>
      </c>
    </row>
    <row r="43" spans="1:8" ht="14.25">
      <c r="A43" s="1451"/>
      <c r="B43" s="528" t="s">
        <v>1560</v>
      </c>
      <c r="C43" s="531" t="s">
        <v>2027</v>
      </c>
      <c r="D43" s="521">
        <v>7130620619</v>
      </c>
      <c r="E43" s="523" t="s">
        <v>1070</v>
      </c>
      <c r="F43" s="512">
        <f>VLOOKUP(D43,'SOR RATE'!A:D,4,0)</f>
        <v>63</v>
      </c>
      <c r="G43" s="523">
        <v>2</v>
      </c>
      <c r="H43" s="512">
        <f t="shared" si="1"/>
        <v>126</v>
      </c>
    </row>
    <row r="44" spans="1:8" ht="14.25">
      <c r="A44" s="1451"/>
      <c r="B44" s="528" t="s">
        <v>1595</v>
      </c>
      <c r="C44" s="531" t="s">
        <v>2028</v>
      </c>
      <c r="D44" s="521">
        <v>7130620627</v>
      </c>
      <c r="E44" s="523" t="s">
        <v>1070</v>
      </c>
      <c r="F44" s="512">
        <f>VLOOKUP(D44,'SOR RATE'!A:D,4,0)</f>
        <v>62</v>
      </c>
      <c r="G44" s="523">
        <v>6</v>
      </c>
      <c r="H44" s="512">
        <f t="shared" si="1"/>
        <v>372</v>
      </c>
    </row>
    <row r="45" spans="1:8" ht="14.25">
      <c r="A45" s="1451"/>
      <c r="B45" s="528" t="s">
        <v>1596</v>
      </c>
      <c r="C45" s="531" t="s">
        <v>1077</v>
      </c>
      <c r="D45" s="521">
        <v>7130620631</v>
      </c>
      <c r="E45" s="523" t="s">
        <v>1070</v>
      </c>
      <c r="F45" s="512">
        <f>VLOOKUP(D45,'SOR RATE'!A:D,4,0)</f>
        <v>62</v>
      </c>
      <c r="G45" s="523">
        <v>15</v>
      </c>
      <c r="H45" s="512">
        <f t="shared" si="1"/>
        <v>930</v>
      </c>
    </row>
    <row r="46" spans="1:8" ht="14.25">
      <c r="A46" s="1450"/>
      <c r="B46" s="528" t="s">
        <v>1597</v>
      </c>
      <c r="C46" s="531" t="s">
        <v>1078</v>
      </c>
      <c r="D46" s="521">
        <v>7130620637</v>
      </c>
      <c r="E46" s="523" t="s">
        <v>1070</v>
      </c>
      <c r="F46" s="512">
        <f>VLOOKUP(D46,'SOR RATE'!A:D,4,0)</f>
        <v>62</v>
      </c>
      <c r="G46" s="523">
        <v>2</v>
      </c>
      <c r="H46" s="512">
        <f t="shared" si="1"/>
        <v>124</v>
      </c>
    </row>
    <row r="47" spans="1:10" ht="15">
      <c r="A47" s="544">
        <v>19</v>
      </c>
      <c r="B47" s="551"/>
      <c r="C47" s="552" t="s">
        <v>771</v>
      </c>
      <c r="D47" s="550"/>
      <c r="E47" s="550"/>
      <c r="F47" s="553"/>
      <c r="G47" s="554"/>
      <c r="H47" s="522">
        <f>SUM(H11:H46)</f>
        <v>423734.7962000001</v>
      </c>
      <c r="I47" s="352"/>
      <c r="J47" s="353"/>
    </row>
    <row r="48" spans="1:10" ht="15" customHeight="1">
      <c r="A48" s="542">
        <v>20</v>
      </c>
      <c r="B48" s="555"/>
      <c r="C48" s="262" t="s">
        <v>770</v>
      </c>
      <c r="D48" s="556"/>
      <c r="E48" s="557"/>
      <c r="F48" s="523">
        <v>0.09</v>
      </c>
      <c r="G48" s="557"/>
      <c r="H48" s="515">
        <f>H47*F48</f>
        <v>38136.131658000006</v>
      </c>
      <c r="I48" s="352"/>
      <c r="J48" s="353"/>
    </row>
    <row r="49" spans="1:8" ht="14.25">
      <c r="A49" s="1449">
        <v>21</v>
      </c>
      <c r="B49" s="528" t="s">
        <v>1556</v>
      </c>
      <c r="C49" s="524" t="s">
        <v>1598</v>
      </c>
      <c r="D49" s="558"/>
      <c r="E49" s="523" t="s">
        <v>1065</v>
      </c>
      <c r="F49" s="515">
        <f>1664*1.27*1.0891*1.086275*1.1112*1.0685</f>
        <v>2968.460981603261</v>
      </c>
      <c r="G49" s="559">
        <v>1.8</v>
      </c>
      <c r="H49" s="515">
        <f>G49*F49</f>
        <v>5343.22976688587</v>
      </c>
    </row>
    <row r="50" spans="1:8" ht="14.25">
      <c r="A50" s="1451"/>
      <c r="B50" s="528" t="s">
        <v>1558</v>
      </c>
      <c r="C50" s="560" t="s">
        <v>1599</v>
      </c>
      <c r="D50" s="561"/>
      <c r="E50" s="523" t="s">
        <v>1065</v>
      </c>
      <c r="F50" s="515">
        <f>1664*1.27*1.0891*1.086275*1.1112*1.0685</f>
        <v>2968.460981603261</v>
      </c>
      <c r="G50" s="559">
        <v>6</v>
      </c>
      <c r="H50" s="515">
        <f>G50*F50</f>
        <v>17810.765889619568</v>
      </c>
    </row>
    <row r="51" spans="1:8" ht="14.25">
      <c r="A51" s="1451"/>
      <c r="B51" s="528" t="s">
        <v>1560</v>
      </c>
      <c r="C51" s="524" t="s">
        <v>1600</v>
      </c>
      <c r="D51" s="561"/>
      <c r="E51" s="523" t="s">
        <v>1061</v>
      </c>
      <c r="F51" s="515">
        <f>1.1*1400*1.27*1.0891*1.086275*1.1112*1.0685</f>
        <v>2747.2535526857114</v>
      </c>
      <c r="G51" s="559">
        <v>1</v>
      </c>
      <c r="H51" s="515">
        <f>G51*F51</f>
        <v>2747.2535526857114</v>
      </c>
    </row>
    <row r="52" spans="1:8" ht="14.25">
      <c r="A52" s="1450"/>
      <c r="B52" s="528" t="s">
        <v>1595</v>
      </c>
      <c r="C52" s="524" t="s">
        <v>1601</v>
      </c>
      <c r="D52" s="561"/>
      <c r="E52" s="523" t="s">
        <v>1061</v>
      </c>
      <c r="F52" s="515">
        <f>1.1*2000*1.27*1.0891*1.086275*1.1112*1.0685</f>
        <v>3924.6479324081583</v>
      </c>
      <c r="G52" s="559">
        <v>1</v>
      </c>
      <c r="H52" s="515">
        <f>G52*F52</f>
        <v>3924.6479324081583</v>
      </c>
    </row>
    <row r="53" spans="1:9" ht="15.75">
      <c r="A53" s="338">
        <v>22</v>
      </c>
      <c r="B53" s="518"/>
      <c r="C53" s="562" t="s">
        <v>1602</v>
      </c>
      <c r="D53" s="338"/>
      <c r="E53" s="338"/>
      <c r="F53" s="563"/>
      <c r="G53" s="564"/>
      <c r="H53" s="339">
        <v>19544.61</v>
      </c>
      <c r="I53" s="483"/>
    </row>
    <row r="54" spans="1:12" ht="44.25" customHeight="1">
      <c r="A54" s="523">
        <v>23</v>
      </c>
      <c r="B54" s="537"/>
      <c r="C54" s="510" t="s">
        <v>654</v>
      </c>
      <c r="D54" s="565"/>
      <c r="E54" s="523"/>
      <c r="F54" s="566"/>
      <c r="G54" s="559"/>
      <c r="H54" s="339">
        <f>1.1*1.1*1912*1.2*1.1*1.1797*1.1402*0.9368</f>
        <v>3848.1029962347097</v>
      </c>
      <c r="L54" s="145"/>
    </row>
    <row r="55" spans="1:12" ht="15">
      <c r="A55" s="550">
        <v>24</v>
      </c>
      <c r="B55" s="537"/>
      <c r="C55" s="552" t="s">
        <v>772</v>
      </c>
      <c r="D55" s="565"/>
      <c r="E55" s="523"/>
      <c r="F55" s="566"/>
      <c r="G55" s="559"/>
      <c r="H55" s="240">
        <f>H47+H48+H49+H50+H51+H52+H53+H54</f>
        <v>515089.53799583414</v>
      </c>
      <c r="I55" s="324"/>
      <c r="L55" s="179"/>
    </row>
    <row r="56" spans="1:12" ht="30.75" customHeight="1">
      <c r="A56" s="523">
        <v>25</v>
      </c>
      <c r="B56" s="537"/>
      <c r="C56" s="262" t="s">
        <v>773</v>
      </c>
      <c r="D56" s="565"/>
      <c r="E56" s="523"/>
      <c r="F56" s="339">
        <v>0.11</v>
      </c>
      <c r="G56" s="564"/>
      <c r="H56" s="339">
        <f>H47*F56</f>
        <v>46610.82758200001</v>
      </c>
      <c r="I56" s="324"/>
      <c r="L56" s="179"/>
    </row>
    <row r="57" spans="1:8" ht="15" customHeight="1">
      <c r="A57" s="338">
        <v>26</v>
      </c>
      <c r="B57" s="518"/>
      <c r="C57" s="562" t="s">
        <v>655</v>
      </c>
      <c r="D57" s="559"/>
      <c r="E57" s="523"/>
      <c r="F57" s="537"/>
      <c r="G57" s="559"/>
      <c r="H57" s="339">
        <f>H55+H56</f>
        <v>561700.3655778342</v>
      </c>
    </row>
    <row r="58" spans="1:8" ht="18" customHeight="1">
      <c r="A58" s="135">
        <v>27</v>
      </c>
      <c r="B58" s="567"/>
      <c r="C58" s="568" t="s">
        <v>656</v>
      </c>
      <c r="D58" s="135"/>
      <c r="E58" s="135"/>
      <c r="F58" s="567"/>
      <c r="G58" s="135"/>
      <c r="H58" s="240">
        <f>ROUND(H57,0)</f>
        <v>561700</v>
      </c>
    </row>
    <row r="59" spans="1:8" ht="12.75">
      <c r="A59" s="569"/>
      <c r="B59" s="570"/>
      <c r="C59" s="546"/>
      <c r="D59" s="571"/>
      <c r="E59" s="571"/>
      <c r="F59" s="572"/>
      <c r="G59" s="571"/>
      <c r="H59" s="368"/>
    </row>
    <row r="60" spans="1:5" ht="15">
      <c r="A60" s="1448" t="s">
        <v>657</v>
      </c>
      <c r="B60" s="1448"/>
      <c r="C60" s="1174" t="s">
        <v>1076</v>
      </c>
      <c r="D60" s="573"/>
      <c r="E60" s="574"/>
    </row>
    <row r="61" ht="12.75">
      <c r="D61" s="79"/>
    </row>
    <row r="63" spans="1:10" ht="19.5" customHeight="1">
      <c r="A63" s="575"/>
      <c r="B63" s="575"/>
      <c r="C63" s="575"/>
      <c r="J63" s="576"/>
    </row>
    <row r="64" spans="1:3" ht="18" customHeight="1">
      <c r="A64" s="575"/>
      <c r="B64" s="575"/>
      <c r="C64" s="575"/>
    </row>
    <row r="76" ht="15.75">
      <c r="C76" s="916" t="s">
        <v>904</v>
      </c>
    </row>
    <row r="78" spans="3:5" ht="14.25">
      <c r="C78" s="526" t="s">
        <v>1410</v>
      </c>
      <c r="D78" s="511">
        <v>7130820155</v>
      </c>
      <c r="E78" s="523" t="s">
        <v>1130</v>
      </c>
    </row>
  </sheetData>
  <sheetProtection/>
  <mergeCells count="21">
    <mergeCell ref="A60:B60"/>
    <mergeCell ref="A26:A30"/>
    <mergeCell ref="A31:A32"/>
    <mergeCell ref="A33:A36"/>
    <mergeCell ref="A37:A38"/>
    <mergeCell ref="A40:A46"/>
    <mergeCell ref="A49:A52"/>
    <mergeCell ref="A22:A23"/>
    <mergeCell ref="B22:C22"/>
    <mergeCell ref="A8:A9"/>
    <mergeCell ref="J23:K23"/>
    <mergeCell ref="C2:E2"/>
    <mergeCell ref="C4:H4"/>
    <mergeCell ref="F8:F9"/>
    <mergeCell ref="G8:H8"/>
    <mergeCell ref="B10:C10"/>
    <mergeCell ref="B8:C9"/>
    <mergeCell ref="D8:D9"/>
    <mergeCell ref="E8:E9"/>
    <mergeCell ref="C1:F1"/>
    <mergeCell ref="A15:A17"/>
  </mergeCells>
  <printOptions horizontalCentered="1"/>
  <pageMargins left="1" right="0.15" top="0.72" bottom="0.41" header="0.55" footer="0.23"/>
  <pageSetup horizontalDpi="600" verticalDpi="600" orientation="landscape" paperSize="9" scale="125" r:id="rId2"/>
  <drawing r:id="rId1"/>
</worksheet>
</file>

<file path=xl/worksheets/sheet2.xml><?xml version="1.0" encoding="utf-8"?>
<worksheet xmlns="http://schemas.openxmlformats.org/spreadsheetml/2006/main" xmlns:r="http://schemas.openxmlformats.org/officeDocument/2006/relationships">
  <dimension ref="A1:R552"/>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13.421875" style="2" customWidth="1"/>
    <col min="2" max="2" width="37.28125" style="2" customWidth="1"/>
    <col min="3" max="3" width="9.28125" style="2" bestFit="1" customWidth="1"/>
    <col min="4" max="4" width="15.8515625" style="2" customWidth="1"/>
    <col min="5" max="5" width="48.421875" style="2" bestFit="1" customWidth="1"/>
    <col min="6" max="6" width="13.421875" style="2" customWidth="1"/>
    <col min="7" max="7" width="11.57421875" style="2" customWidth="1"/>
    <col min="8" max="8" width="9.140625" style="2" customWidth="1"/>
    <col min="9" max="9" width="13.00390625" style="2" customWidth="1"/>
    <col min="10" max="16384" width="9.140625" style="2" customWidth="1"/>
  </cols>
  <sheetData>
    <row r="1" spans="2:3" ht="15.75">
      <c r="B1" s="916" t="s">
        <v>124</v>
      </c>
      <c r="C1" s="1223"/>
    </row>
    <row r="3" spans="1:5" s="153" customFormat="1" ht="25.5">
      <c r="A3" s="146" t="s">
        <v>244</v>
      </c>
      <c r="B3" s="146" t="s">
        <v>245</v>
      </c>
      <c r="C3" s="146" t="s">
        <v>246</v>
      </c>
      <c r="D3" s="258" t="s">
        <v>184</v>
      </c>
      <c r="E3" s="146" t="s">
        <v>185</v>
      </c>
    </row>
    <row r="4" spans="1:5" ht="12.75">
      <c r="A4" s="717">
        <v>7130200201</v>
      </c>
      <c r="B4" s="713" t="s">
        <v>908</v>
      </c>
      <c r="C4" s="710" t="s">
        <v>1065</v>
      </c>
      <c r="D4" s="714">
        <v>4212</v>
      </c>
      <c r="E4" s="289"/>
    </row>
    <row r="5" spans="1:5" ht="12.75">
      <c r="A5" s="717">
        <v>7130200202</v>
      </c>
      <c r="B5" s="713" t="s">
        <v>909</v>
      </c>
      <c r="C5" s="710" t="s">
        <v>1065</v>
      </c>
      <c r="D5" s="714">
        <v>3019</v>
      </c>
      <c r="E5" s="289"/>
    </row>
    <row r="6" spans="1:5" ht="25.5">
      <c r="A6" s="719">
        <v>7130200204</v>
      </c>
      <c r="B6" s="718" t="s">
        <v>493</v>
      </c>
      <c r="C6" s="702" t="s">
        <v>1680</v>
      </c>
      <c r="D6" s="722">
        <v>157</v>
      </c>
      <c r="E6" s="693" t="s">
        <v>532</v>
      </c>
    </row>
    <row r="7" spans="1:5" ht="16.5" customHeight="1">
      <c r="A7" s="719">
        <v>7130200401</v>
      </c>
      <c r="B7" s="718" t="s">
        <v>491</v>
      </c>
      <c r="C7" s="702" t="s">
        <v>492</v>
      </c>
      <c r="D7" s="722">
        <v>268</v>
      </c>
      <c r="E7" s="693" t="s">
        <v>792</v>
      </c>
    </row>
    <row r="8" spans="1:5" ht="18.75" customHeight="1">
      <c r="A8" s="719">
        <v>7130201343</v>
      </c>
      <c r="B8" s="718" t="s">
        <v>494</v>
      </c>
      <c r="C8" s="710" t="s">
        <v>495</v>
      </c>
      <c r="D8" s="722">
        <v>10423</v>
      </c>
      <c r="E8" s="693"/>
    </row>
    <row r="9" spans="1:5" ht="15" customHeight="1">
      <c r="A9" s="715">
        <v>7130210809</v>
      </c>
      <c r="B9" s="713" t="s">
        <v>1627</v>
      </c>
      <c r="C9" s="710" t="s">
        <v>1030</v>
      </c>
      <c r="D9" s="714">
        <v>290</v>
      </c>
      <c r="E9" s="693" t="s">
        <v>533</v>
      </c>
    </row>
    <row r="10" spans="1:5" ht="15" customHeight="1">
      <c r="A10" s="719">
        <v>7130211121</v>
      </c>
      <c r="B10" s="718" t="s">
        <v>262</v>
      </c>
      <c r="C10" s="702" t="s">
        <v>1067</v>
      </c>
      <c r="D10" s="722">
        <v>223</v>
      </c>
      <c r="E10" s="693"/>
    </row>
    <row r="11" spans="1:5" ht="15" customHeight="1">
      <c r="A11" s="715">
        <v>7130211158</v>
      </c>
      <c r="B11" s="713" t="s">
        <v>427</v>
      </c>
      <c r="C11" s="710" t="s">
        <v>1030</v>
      </c>
      <c r="D11" s="714">
        <v>130</v>
      </c>
      <c r="E11" s="693" t="s">
        <v>534</v>
      </c>
    </row>
    <row r="12" spans="1:5" ht="25.5">
      <c r="A12" s="702">
        <v>7130300025</v>
      </c>
      <c r="B12" s="718" t="s">
        <v>1585</v>
      </c>
      <c r="C12" s="714" t="s">
        <v>105</v>
      </c>
      <c r="D12" s="714">
        <v>225744</v>
      </c>
      <c r="E12" s="693" t="s">
        <v>535</v>
      </c>
    </row>
    <row r="13" spans="1:5" ht="12.75">
      <c r="A13" s="706">
        <v>7130310007</v>
      </c>
      <c r="B13" s="705" t="s">
        <v>100</v>
      </c>
      <c r="C13" s="706" t="s">
        <v>586</v>
      </c>
      <c r="D13" s="708">
        <v>73880</v>
      </c>
      <c r="E13" s="693" t="s">
        <v>536</v>
      </c>
    </row>
    <row r="14" spans="1:5" ht="15" customHeight="1">
      <c r="A14" s="706">
        <v>7130310008</v>
      </c>
      <c r="B14" s="705" t="s">
        <v>101</v>
      </c>
      <c r="C14" s="706" t="s">
        <v>586</v>
      </c>
      <c r="D14" s="708">
        <v>92081</v>
      </c>
      <c r="E14" s="693" t="s">
        <v>537</v>
      </c>
    </row>
    <row r="15" spans="1:5" ht="16.5" customHeight="1">
      <c r="A15" s="709">
        <v>7130310020</v>
      </c>
      <c r="B15" s="725" t="s">
        <v>735</v>
      </c>
      <c r="C15" s="704" t="s">
        <v>105</v>
      </c>
      <c r="D15" s="708">
        <v>2104858</v>
      </c>
      <c r="E15" s="693" t="s">
        <v>186</v>
      </c>
    </row>
    <row r="16" spans="1:5" ht="17.25" customHeight="1">
      <c r="A16" s="706">
        <v>7130310021</v>
      </c>
      <c r="B16" s="705" t="s">
        <v>98</v>
      </c>
      <c r="C16" s="706" t="s">
        <v>586</v>
      </c>
      <c r="D16" s="708">
        <v>39632</v>
      </c>
      <c r="E16" s="693" t="s">
        <v>538</v>
      </c>
    </row>
    <row r="17" spans="1:5" ht="12.75">
      <c r="A17" s="706">
        <v>7130310022</v>
      </c>
      <c r="B17" s="705" t="s">
        <v>99</v>
      </c>
      <c r="C17" s="706" t="s">
        <v>586</v>
      </c>
      <c r="D17" s="708">
        <v>56726</v>
      </c>
      <c r="E17" s="693" t="s">
        <v>539</v>
      </c>
    </row>
    <row r="18" spans="1:5" ht="27.75" customHeight="1">
      <c r="A18" s="710">
        <v>7130310031</v>
      </c>
      <c r="B18" s="718" t="s">
        <v>97</v>
      </c>
      <c r="C18" s="714" t="s">
        <v>105</v>
      </c>
      <c r="D18" s="714">
        <v>59321</v>
      </c>
      <c r="E18" s="693" t="s">
        <v>540</v>
      </c>
    </row>
    <row r="19" spans="1:5" ht="29.25" customHeight="1">
      <c r="A19" s="710">
        <v>7130310032</v>
      </c>
      <c r="B19" s="718" t="s">
        <v>1418</v>
      </c>
      <c r="C19" s="714" t="s">
        <v>105</v>
      </c>
      <c r="D19" s="714">
        <v>75464</v>
      </c>
      <c r="E19" s="693" t="s">
        <v>541</v>
      </c>
    </row>
    <row r="20" spans="1:5" ht="30.75" customHeight="1">
      <c r="A20" s="710">
        <v>7130310033</v>
      </c>
      <c r="B20" s="718" t="s">
        <v>1419</v>
      </c>
      <c r="C20" s="714" t="s">
        <v>105</v>
      </c>
      <c r="D20" s="714">
        <v>93866</v>
      </c>
      <c r="E20" s="693" t="s">
        <v>542</v>
      </c>
    </row>
    <row r="21" spans="1:5" ht="12.75">
      <c r="A21" s="723">
        <v>7130310038</v>
      </c>
      <c r="B21" s="713" t="s">
        <v>594</v>
      </c>
      <c r="C21" s="710" t="s">
        <v>595</v>
      </c>
      <c r="D21" s="714">
        <v>6</v>
      </c>
      <c r="E21" s="693" t="s">
        <v>543</v>
      </c>
    </row>
    <row r="22" spans="1:5" ht="12.75">
      <c r="A22" s="723">
        <v>7130310039</v>
      </c>
      <c r="B22" s="713" t="s">
        <v>596</v>
      </c>
      <c r="C22" s="710" t="s">
        <v>595</v>
      </c>
      <c r="D22" s="714">
        <v>27</v>
      </c>
      <c r="E22" s="693" t="s">
        <v>544</v>
      </c>
    </row>
    <row r="23" spans="1:9" ht="14.25" customHeight="1">
      <c r="A23" s="717">
        <v>7130310040</v>
      </c>
      <c r="B23" s="713" t="s">
        <v>597</v>
      </c>
      <c r="C23" s="710" t="s">
        <v>595</v>
      </c>
      <c r="D23" s="714">
        <v>55</v>
      </c>
      <c r="E23" s="693" t="s">
        <v>545</v>
      </c>
      <c r="I23" s="145"/>
    </row>
    <row r="24" spans="1:5" ht="12.75">
      <c r="A24" s="724">
        <v>7130310041</v>
      </c>
      <c r="B24" s="705" t="s">
        <v>102</v>
      </c>
      <c r="C24" s="706" t="s">
        <v>586</v>
      </c>
      <c r="D24" s="708">
        <v>101834</v>
      </c>
      <c r="E24" s="693" t="s">
        <v>546</v>
      </c>
    </row>
    <row r="25" spans="1:5" ht="12.75">
      <c r="A25" s="724">
        <v>7130310042</v>
      </c>
      <c r="B25" s="705" t="s">
        <v>104</v>
      </c>
      <c r="C25" s="704" t="s">
        <v>105</v>
      </c>
      <c r="D25" s="708">
        <v>66832</v>
      </c>
      <c r="E25" s="693" t="s">
        <v>547</v>
      </c>
    </row>
    <row r="26" spans="1:5" ht="12.75">
      <c r="A26" s="724">
        <v>7130310044</v>
      </c>
      <c r="B26" s="725" t="s">
        <v>597</v>
      </c>
      <c r="C26" s="704" t="s">
        <v>105</v>
      </c>
      <c r="D26" s="708">
        <v>94953</v>
      </c>
      <c r="E26" s="693" t="s">
        <v>548</v>
      </c>
    </row>
    <row r="27" spans="1:5" ht="12.75">
      <c r="A27" s="709">
        <v>7130310048</v>
      </c>
      <c r="B27" s="725" t="s">
        <v>598</v>
      </c>
      <c r="C27" s="704" t="s">
        <v>105</v>
      </c>
      <c r="D27" s="708">
        <v>139291</v>
      </c>
      <c r="E27" s="693"/>
    </row>
    <row r="28" spans="1:5" ht="12.75">
      <c r="A28" s="726">
        <v>7130310049</v>
      </c>
      <c r="B28" s="725" t="s">
        <v>1092</v>
      </c>
      <c r="C28" s="704" t="s">
        <v>105</v>
      </c>
      <c r="D28" s="708">
        <v>401162</v>
      </c>
      <c r="E28" s="693"/>
    </row>
    <row r="29" spans="1:5" ht="12.75">
      <c r="A29" s="709">
        <v>7130310050</v>
      </c>
      <c r="B29" s="725" t="s">
        <v>1093</v>
      </c>
      <c r="C29" s="704" t="s">
        <v>105</v>
      </c>
      <c r="D29" s="708">
        <v>1142914</v>
      </c>
      <c r="E29" s="693"/>
    </row>
    <row r="30" spans="1:5" ht="12.75">
      <c r="A30" s="709">
        <v>7130310051</v>
      </c>
      <c r="B30" s="725" t="s">
        <v>1094</v>
      </c>
      <c r="C30" s="704" t="s">
        <v>105</v>
      </c>
      <c r="D30" s="707">
        <v>841556</v>
      </c>
      <c r="E30" s="693" t="s">
        <v>549</v>
      </c>
    </row>
    <row r="31" spans="1:5" ht="15.75" customHeight="1">
      <c r="A31" s="709">
        <v>7130310052</v>
      </c>
      <c r="B31" s="725" t="s">
        <v>1095</v>
      </c>
      <c r="C31" s="704" t="s">
        <v>105</v>
      </c>
      <c r="D31" s="708">
        <v>1033058</v>
      </c>
      <c r="E31" s="693"/>
    </row>
    <row r="32" spans="1:5" ht="15.75" customHeight="1">
      <c r="A32" s="709">
        <v>7130310053</v>
      </c>
      <c r="B32" s="725" t="s">
        <v>1096</v>
      </c>
      <c r="C32" s="704" t="s">
        <v>105</v>
      </c>
      <c r="D32" s="708">
        <v>1180744</v>
      </c>
      <c r="E32" s="693" t="s">
        <v>550</v>
      </c>
    </row>
    <row r="33" spans="1:5" ht="12.75">
      <c r="A33" s="709">
        <v>7130310054</v>
      </c>
      <c r="B33" s="725" t="s">
        <v>1097</v>
      </c>
      <c r="C33" s="704" t="s">
        <v>105</v>
      </c>
      <c r="D33" s="708">
        <v>1501438</v>
      </c>
      <c r="E33" s="693" t="s">
        <v>551</v>
      </c>
    </row>
    <row r="34" spans="1:7" ht="25.5">
      <c r="A34" s="719">
        <v>7130310055</v>
      </c>
      <c r="B34" s="721" t="s">
        <v>1098</v>
      </c>
      <c r="C34" s="702" t="s">
        <v>1022</v>
      </c>
      <c r="D34" s="714">
        <v>17336</v>
      </c>
      <c r="E34" s="693"/>
      <c r="G34" s="145"/>
    </row>
    <row r="35" spans="1:7" ht="25.5">
      <c r="A35" s="719">
        <v>7130310056</v>
      </c>
      <c r="B35" s="721" t="s">
        <v>1099</v>
      </c>
      <c r="C35" s="702" t="s">
        <v>1022</v>
      </c>
      <c r="D35" s="727">
        <v>24765</v>
      </c>
      <c r="E35" s="693"/>
      <c r="G35" s="1222"/>
    </row>
    <row r="36" spans="1:7" ht="25.5">
      <c r="A36" s="719">
        <v>7130310057</v>
      </c>
      <c r="B36" s="718" t="s">
        <v>88</v>
      </c>
      <c r="C36" s="714" t="s">
        <v>105</v>
      </c>
      <c r="D36" s="727">
        <v>287007</v>
      </c>
      <c r="E36" s="693" t="s">
        <v>1241</v>
      </c>
      <c r="G36" s="145"/>
    </row>
    <row r="37" spans="1:5" ht="25.5">
      <c r="A37" s="719">
        <v>7130310058</v>
      </c>
      <c r="B37" s="718" t="s">
        <v>89</v>
      </c>
      <c r="C37" s="714" t="s">
        <v>105</v>
      </c>
      <c r="D37" s="727">
        <v>406042</v>
      </c>
      <c r="E37" s="693"/>
    </row>
    <row r="38" spans="1:5" ht="25.5">
      <c r="A38" s="719">
        <v>7130310059</v>
      </c>
      <c r="B38" s="718" t="s">
        <v>90</v>
      </c>
      <c r="C38" s="714" t="s">
        <v>105</v>
      </c>
      <c r="D38" s="727">
        <v>607146</v>
      </c>
      <c r="E38" s="693"/>
    </row>
    <row r="39" spans="1:5" ht="25.5">
      <c r="A39" s="719">
        <v>7130310060</v>
      </c>
      <c r="B39" s="718" t="s">
        <v>91</v>
      </c>
      <c r="C39" s="714" t="s">
        <v>105</v>
      </c>
      <c r="D39" s="727">
        <v>572690</v>
      </c>
      <c r="E39" s="693"/>
    </row>
    <row r="40" spans="1:5" ht="25.5">
      <c r="A40" s="719">
        <v>7130310061</v>
      </c>
      <c r="B40" s="721" t="s">
        <v>92</v>
      </c>
      <c r="C40" s="702" t="s">
        <v>1022</v>
      </c>
      <c r="D40" s="714">
        <v>3784</v>
      </c>
      <c r="E40" s="693" t="s">
        <v>1242</v>
      </c>
    </row>
    <row r="41" spans="1:5" ht="25.5">
      <c r="A41" s="719">
        <v>7130310062</v>
      </c>
      <c r="B41" s="721" t="s">
        <v>93</v>
      </c>
      <c r="C41" s="702" t="s">
        <v>1022</v>
      </c>
      <c r="D41" s="714">
        <v>3982</v>
      </c>
      <c r="E41" s="693" t="s">
        <v>1242</v>
      </c>
    </row>
    <row r="42" spans="1:5" ht="25.5">
      <c r="A42" s="717">
        <v>7130310063</v>
      </c>
      <c r="B42" s="718" t="s">
        <v>96</v>
      </c>
      <c r="C42" s="714" t="s">
        <v>105</v>
      </c>
      <c r="D42" s="714">
        <v>50560</v>
      </c>
      <c r="E42" s="693" t="s">
        <v>1243</v>
      </c>
    </row>
    <row r="43" spans="1:6" ht="25.5" customHeight="1" hidden="1">
      <c r="A43" s="1201">
        <v>7130310064</v>
      </c>
      <c r="B43" s="1218" t="s">
        <v>1280</v>
      </c>
      <c r="C43" s="1221" t="s">
        <v>105</v>
      </c>
      <c r="D43" s="1207" t="s">
        <v>122</v>
      </c>
      <c r="E43" s="1202" t="s">
        <v>1243</v>
      </c>
      <c r="F43" s="887"/>
    </row>
    <row r="44" spans="1:5" ht="25.5">
      <c r="A44" s="710">
        <v>7130310065</v>
      </c>
      <c r="B44" s="718" t="s">
        <v>1420</v>
      </c>
      <c r="C44" s="714" t="s">
        <v>105</v>
      </c>
      <c r="D44" s="714">
        <v>118163</v>
      </c>
      <c r="E44" s="693" t="s">
        <v>1244</v>
      </c>
    </row>
    <row r="45" spans="1:5" ht="25.5">
      <c r="A45" s="717">
        <v>7130310066</v>
      </c>
      <c r="B45" s="718" t="s">
        <v>1584</v>
      </c>
      <c r="C45" s="714" t="s">
        <v>105</v>
      </c>
      <c r="D45" s="714">
        <v>129093</v>
      </c>
      <c r="E45" s="693" t="s">
        <v>1245</v>
      </c>
    </row>
    <row r="46" spans="1:6" ht="25.5" hidden="1">
      <c r="A46" s="1199">
        <v>7130310067</v>
      </c>
      <c r="B46" s="1218" t="s">
        <v>1977</v>
      </c>
      <c r="C46" s="1221" t="s">
        <v>105</v>
      </c>
      <c r="D46" s="1207" t="s">
        <v>122</v>
      </c>
      <c r="E46" s="1202" t="s">
        <v>1245</v>
      </c>
      <c r="F46" s="887"/>
    </row>
    <row r="47" spans="1:6" ht="25.5" hidden="1">
      <c r="A47" s="1199">
        <v>7130310068</v>
      </c>
      <c r="B47" s="1218" t="s">
        <v>1978</v>
      </c>
      <c r="C47" s="1221" t="s">
        <v>105</v>
      </c>
      <c r="D47" s="1207" t="s">
        <v>122</v>
      </c>
      <c r="E47" s="1202"/>
      <c r="F47" s="887"/>
    </row>
    <row r="48" spans="1:6" ht="25.5" hidden="1">
      <c r="A48" s="1199">
        <v>7130310069</v>
      </c>
      <c r="B48" s="1218" t="s">
        <v>1979</v>
      </c>
      <c r="C48" s="1221" t="s">
        <v>105</v>
      </c>
      <c r="D48" s="1207" t="s">
        <v>122</v>
      </c>
      <c r="E48" s="1202" t="s">
        <v>1245</v>
      </c>
      <c r="F48" s="887"/>
    </row>
    <row r="49" spans="1:5" ht="25.5">
      <c r="A49" s="702">
        <v>7130310070</v>
      </c>
      <c r="B49" s="718" t="s">
        <v>730</v>
      </c>
      <c r="C49" s="714" t="s">
        <v>105</v>
      </c>
      <c r="D49" s="714">
        <v>47069</v>
      </c>
      <c r="E49" s="693" t="s">
        <v>1246</v>
      </c>
    </row>
    <row r="50" spans="1:5" ht="25.5">
      <c r="A50" s="702">
        <v>7130310073</v>
      </c>
      <c r="B50" s="718" t="s">
        <v>1500</v>
      </c>
      <c r="C50" s="714" t="s">
        <v>105</v>
      </c>
      <c r="D50" s="714">
        <v>60003</v>
      </c>
      <c r="E50" s="693" t="s">
        <v>1247</v>
      </c>
    </row>
    <row r="51" spans="1:5" ht="18" customHeight="1">
      <c r="A51" s="709">
        <v>7130310075</v>
      </c>
      <c r="B51" s="725" t="s">
        <v>1097</v>
      </c>
      <c r="C51" s="704" t="s">
        <v>105</v>
      </c>
      <c r="D51" s="708">
        <v>1926090</v>
      </c>
      <c r="E51" s="693" t="s">
        <v>1248</v>
      </c>
    </row>
    <row r="52" spans="1:5" ht="19.5" customHeight="1">
      <c r="A52" s="719">
        <v>7130310076</v>
      </c>
      <c r="B52" s="718" t="s">
        <v>590</v>
      </c>
      <c r="C52" s="710" t="s">
        <v>105</v>
      </c>
      <c r="D52" s="714">
        <v>514014.41</v>
      </c>
      <c r="E52" s="289"/>
    </row>
    <row r="53" spans="1:5" ht="17.25" customHeight="1">
      <c r="A53" s="719">
        <v>7130310077</v>
      </c>
      <c r="B53" s="718" t="s">
        <v>736</v>
      </c>
      <c r="C53" s="710" t="s">
        <v>105</v>
      </c>
      <c r="D53" s="714">
        <v>520056</v>
      </c>
      <c r="E53" s="693" t="s">
        <v>1249</v>
      </c>
    </row>
    <row r="54" spans="1:5" ht="17.25" customHeight="1">
      <c r="A54" s="719">
        <v>7130310078</v>
      </c>
      <c r="B54" s="718" t="s">
        <v>737</v>
      </c>
      <c r="C54" s="710" t="s">
        <v>105</v>
      </c>
      <c r="D54" s="714">
        <v>775508</v>
      </c>
      <c r="E54" s="693" t="s">
        <v>1250</v>
      </c>
    </row>
    <row r="55" spans="1:5" ht="18" customHeight="1">
      <c r="A55" s="719">
        <v>7130310079</v>
      </c>
      <c r="B55" s="718" t="s">
        <v>738</v>
      </c>
      <c r="C55" s="710" t="s">
        <v>105</v>
      </c>
      <c r="D55" s="714">
        <v>939613</v>
      </c>
      <c r="E55" s="693" t="s">
        <v>1251</v>
      </c>
    </row>
    <row r="56" spans="1:5" ht="15.75" customHeight="1">
      <c r="A56" s="719">
        <v>7130310080</v>
      </c>
      <c r="B56" s="718" t="s">
        <v>593</v>
      </c>
      <c r="C56" s="710" t="s">
        <v>105</v>
      </c>
      <c r="D56" s="714">
        <v>1447702</v>
      </c>
      <c r="E56" s="693" t="s">
        <v>1252</v>
      </c>
    </row>
    <row r="57" spans="1:5" ht="12.75">
      <c r="A57" s="715">
        <v>7130310652</v>
      </c>
      <c r="B57" s="713" t="s">
        <v>188</v>
      </c>
      <c r="C57" s="710" t="s">
        <v>586</v>
      </c>
      <c r="D57" s="714">
        <v>39708</v>
      </c>
      <c r="E57" s="289" t="s">
        <v>1253</v>
      </c>
    </row>
    <row r="58" spans="1:5" ht="14.25" customHeight="1">
      <c r="A58" s="715">
        <v>7130310652</v>
      </c>
      <c r="B58" s="713" t="s">
        <v>187</v>
      </c>
      <c r="C58" s="710" t="s">
        <v>586</v>
      </c>
      <c r="D58" s="714">
        <v>78312</v>
      </c>
      <c r="E58" s="693" t="s">
        <v>1253</v>
      </c>
    </row>
    <row r="59" spans="1:5" ht="12.75">
      <c r="A59" s="715">
        <v>7130310654</v>
      </c>
      <c r="B59" s="713" t="s">
        <v>189</v>
      </c>
      <c r="C59" s="710" t="s">
        <v>586</v>
      </c>
      <c r="D59" s="714">
        <v>67671</v>
      </c>
      <c r="E59" s="289" t="s">
        <v>1254</v>
      </c>
    </row>
    <row r="60" spans="1:5" ht="12.75">
      <c r="A60" s="710">
        <v>7130310654</v>
      </c>
      <c r="B60" s="713" t="s">
        <v>190</v>
      </c>
      <c r="C60" s="710" t="s">
        <v>586</v>
      </c>
      <c r="D60" s="714">
        <v>112811</v>
      </c>
      <c r="E60" s="289" t="s">
        <v>1254</v>
      </c>
    </row>
    <row r="61" spans="1:5" ht="12.75">
      <c r="A61" s="715">
        <v>7130310658</v>
      </c>
      <c r="B61" s="713" t="s">
        <v>191</v>
      </c>
      <c r="C61" s="710" t="s">
        <v>586</v>
      </c>
      <c r="D61" s="714">
        <v>125719</v>
      </c>
      <c r="E61" s="289" t="s">
        <v>1255</v>
      </c>
    </row>
    <row r="62" spans="1:5" ht="12.75">
      <c r="A62" s="715">
        <v>7130310660</v>
      </c>
      <c r="B62" s="713" t="s">
        <v>192</v>
      </c>
      <c r="C62" s="710" t="s">
        <v>586</v>
      </c>
      <c r="D62" s="714">
        <v>154500</v>
      </c>
      <c r="E62" s="289" t="s">
        <v>1606</v>
      </c>
    </row>
    <row r="63" spans="1:5" ht="12.75">
      <c r="A63" s="715">
        <v>7130310660</v>
      </c>
      <c r="B63" s="713" t="s">
        <v>193</v>
      </c>
      <c r="C63" s="710" t="s">
        <v>586</v>
      </c>
      <c r="D63" s="714">
        <v>172208</v>
      </c>
      <c r="E63" s="289" t="s">
        <v>1606</v>
      </c>
    </row>
    <row r="64" spans="1:5" ht="12.75">
      <c r="A64" s="715">
        <v>7130310662</v>
      </c>
      <c r="B64" s="713" t="s">
        <v>194</v>
      </c>
      <c r="C64" s="710" t="s">
        <v>586</v>
      </c>
      <c r="D64" s="714">
        <v>173129</v>
      </c>
      <c r="E64" s="289" t="s">
        <v>1607</v>
      </c>
    </row>
    <row r="65" spans="1:5" ht="12.75">
      <c r="A65" s="702">
        <v>7130311008</v>
      </c>
      <c r="B65" s="713" t="s">
        <v>587</v>
      </c>
      <c r="C65" s="710" t="s">
        <v>588</v>
      </c>
      <c r="D65" s="714">
        <v>15990</v>
      </c>
      <c r="E65" s="289" t="s">
        <v>1608</v>
      </c>
    </row>
    <row r="66" spans="1:5" ht="12.75">
      <c r="A66" s="710">
        <v>7130311009</v>
      </c>
      <c r="B66" s="713" t="s">
        <v>589</v>
      </c>
      <c r="C66" s="710" t="s">
        <v>588</v>
      </c>
      <c r="D66" s="714">
        <v>38685</v>
      </c>
      <c r="E66" s="289" t="s">
        <v>1609</v>
      </c>
    </row>
    <row r="67" spans="1:5" ht="12.75">
      <c r="A67" s="710">
        <v>7130311010</v>
      </c>
      <c r="B67" s="713" t="s">
        <v>590</v>
      </c>
      <c r="C67" s="710" t="s">
        <v>588</v>
      </c>
      <c r="D67" s="714">
        <v>52581</v>
      </c>
      <c r="E67" s="289" t="s">
        <v>1610</v>
      </c>
    </row>
    <row r="68" spans="1:5" ht="12.75" customHeight="1">
      <c r="A68" s="710">
        <v>7130311011</v>
      </c>
      <c r="B68" s="713" t="s">
        <v>591</v>
      </c>
      <c r="C68" s="710" t="s">
        <v>588</v>
      </c>
      <c r="D68" s="714">
        <v>101586</v>
      </c>
      <c r="E68" s="289" t="s">
        <v>1611</v>
      </c>
    </row>
    <row r="69" spans="1:5" ht="12.75">
      <c r="A69" s="710">
        <v>7130311012</v>
      </c>
      <c r="B69" s="713" t="s">
        <v>592</v>
      </c>
      <c r="C69" s="710" t="s">
        <v>588</v>
      </c>
      <c r="D69" s="714">
        <v>198613</v>
      </c>
      <c r="E69" s="289" t="s">
        <v>1612</v>
      </c>
    </row>
    <row r="70" spans="1:5" ht="12.75">
      <c r="A70" s="710">
        <v>7130311013</v>
      </c>
      <c r="B70" s="713" t="s">
        <v>593</v>
      </c>
      <c r="C70" s="710" t="s">
        <v>588</v>
      </c>
      <c r="D70" s="714">
        <v>247683</v>
      </c>
      <c r="E70" s="289" t="s">
        <v>1613</v>
      </c>
    </row>
    <row r="71" spans="1:5" ht="12.75">
      <c r="A71" s="712">
        <v>7130311054</v>
      </c>
      <c r="B71" s="705" t="s">
        <v>1091</v>
      </c>
      <c r="C71" s="704" t="s">
        <v>105</v>
      </c>
      <c r="D71" s="708">
        <v>213718</v>
      </c>
      <c r="E71" s="289" t="s">
        <v>1614</v>
      </c>
    </row>
    <row r="72" spans="1:5" ht="12.75" customHeight="1">
      <c r="A72" s="712">
        <v>7130311057</v>
      </c>
      <c r="B72" s="705" t="s">
        <v>102</v>
      </c>
      <c r="C72" s="704" t="s">
        <v>105</v>
      </c>
      <c r="D72" s="708">
        <v>412459</v>
      </c>
      <c r="E72" s="289" t="s">
        <v>1615</v>
      </c>
    </row>
    <row r="73" spans="1:5" ht="12.75">
      <c r="A73" s="712">
        <v>7130311061</v>
      </c>
      <c r="B73" s="705" t="s">
        <v>103</v>
      </c>
      <c r="C73" s="704" t="s">
        <v>105</v>
      </c>
      <c r="D73" s="708">
        <v>784944</v>
      </c>
      <c r="E73" s="289" t="s">
        <v>1616</v>
      </c>
    </row>
    <row r="74" spans="1:5" ht="12.75">
      <c r="A74" s="712">
        <v>7130311084</v>
      </c>
      <c r="B74" s="705" t="s">
        <v>104</v>
      </c>
      <c r="C74" s="704" t="s">
        <v>105</v>
      </c>
      <c r="D74" s="708">
        <v>99916</v>
      </c>
      <c r="E74" s="289" t="s">
        <v>1617</v>
      </c>
    </row>
    <row r="75" spans="1:7" ht="25.5">
      <c r="A75" s="719">
        <v>7130320037</v>
      </c>
      <c r="B75" s="721" t="s">
        <v>1100</v>
      </c>
      <c r="C75" s="702" t="s">
        <v>1022</v>
      </c>
      <c r="D75" s="727">
        <v>9906</v>
      </c>
      <c r="E75" s="289"/>
      <c r="G75" s="1222"/>
    </row>
    <row r="76" spans="1:7" ht="25.5">
      <c r="A76" s="719">
        <v>7130320038</v>
      </c>
      <c r="B76" s="721" t="s">
        <v>1101</v>
      </c>
      <c r="C76" s="702" t="s">
        <v>1022</v>
      </c>
      <c r="D76" s="727">
        <v>12383</v>
      </c>
      <c r="E76" s="289" t="s">
        <v>1618</v>
      </c>
      <c r="G76" s="1222"/>
    </row>
    <row r="77" spans="1:7" ht="18.75" customHeight="1">
      <c r="A77" s="719">
        <v>7130320039</v>
      </c>
      <c r="B77" s="721" t="s">
        <v>1679</v>
      </c>
      <c r="C77" s="702" t="s">
        <v>1022</v>
      </c>
      <c r="D77" s="727">
        <v>14859</v>
      </c>
      <c r="E77" s="289" t="s">
        <v>1619</v>
      </c>
      <c r="G77" s="1222"/>
    </row>
    <row r="78" spans="1:7" ht="26.25" customHeight="1">
      <c r="A78" s="719">
        <v>7130320040</v>
      </c>
      <c r="B78" s="721" t="s">
        <v>84</v>
      </c>
      <c r="C78" s="702" t="s">
        <v>1022</v>
      </c>
      <c r="D78" s="727">
        <v>17336</v>
      </c>
      <c r="E78" s="289" t="s">
        <v>1620</v>
      </c>
      <c r="G78" s="1222"/>
    </row>
    <row r="79" spans="1:7" ht="27" customHeight="1">
      <c r="A79" s="719">
        <v>7130320041</v>
      </c>
      <c r="B79" s="721" t="s">
        <v>85</v>
      </c>
      <c r="C79" s="702" t="s">
        <v>1022</v>
      </c>
      <c r="D79" s="727">
        <v>18574</v>
      </c>
      <c r="E79" s="289"/>
      <c r="G79" s="1222"/>
    </row>
    <row r="80" spans="1:7" ht="21.75" customHeight="1">
      <c r="A80" s="719">
        <v>7130320042</v>
      </c>
      <c r="B80" s="721" t="s">
        <v>86</v>
      </c>
      <c r="C80" s="702" t="s">
        <v>1022</v>
      </c>
      <c r="D80" s="727">
        <v>22289</v>
      </c>
      <c r="E80" s="289"/>
      <c r="G80" s="1222"/>
    </row>
    <row r="81" spans="1:7" ht="28.5" customHeight="1">
      <c r="A81" s="719">
        <v>7130320043</v>
      </c>
      <c r="B81" s="721" t="s">
        <v>256</v>
      </c>
      <c r="C81" s="702" t="s">
        <v>1130</v>
      </c>
      <c r="D81" s="727">
        <v>780</v>
      </c>
      <c r="E81" s="289" t="s">
        <v>1621</v>
      </c>
      <c r="G81" s="1222"/>
    </row>
    <row r="82" spans="1:7" ht="25.5">
      <c r="A82" s="728">
        <v>7130320044</v>
      </c>
      <c r="B82" s="721" t="s">
        <v>255</v>
      </c>
      <c r="C82" s="702" t="s">
        <v>1130</v>
      </c>
      <c r="D82" s="727">
        <v>842</v>
      </c>
      <c r="E82" s="289"/>
      <c r="G82" s="1222"/>
    </row>
    <row r="83" spans="1:7" ht="19.5" customHeight="1">
      <c r="A83" s="728">
        <v>7130320045</v>
      </c>
      <c r="B83" s="721" t="s">
        <v>87</v>
      </c>
      <c r="C83" s="702" t="s">
        <v>1130</v>
      </c>
      <c r="D83" s="711">
        <v>25</v>
      </c>
      <c r="E83" s="289"/>
      <c r="G83" s="1222"/>
    </row>
    <row r="84" spans="1:6" ht="18" hidden="1">
      <c r="A84" s="1199">
        <v>7130320046</v>
      </c>
      <c r="B84" s="1210" t="s">
        <v>1277</v>
      </c>
      <c r="C84" s="1199" t="s">
        <v>1022</v>
      </c>
      <c r="D84" s="1207" t="s">
        <v>122</v>
      </c>
      <c r="E84" s="1202" t="s">
        <v>1622</v>
      </c>
      <c r="F84" s="887"/>
    </row>
    <row r="85" spans="1:6" ht="25.5" hidden="1">
      <c r="A85" s="1199">
        <v>7130320047</v>
      </c>
      <c r="B85" s="1210" t="s">
        <v>1278</v>
      </c>
      <c r="C85" s="1199" t="s">
        <v>1022</v>
      </c>
      <c r="D85" s="1207" t="s">
        <v>122</v>
      </c>
      <c r="E85" s="1202" t="s">
        <v>1623</v>
      </c>
      <c r="F85" s="887"/>
    </row>
    <row r="86" spans="1:5" ht="25.5">
      <c r="A86" s="719">
        <v>7130320048</v>
      </c>
      <c r="B86" s="721" t="s">
        <v>94</v>
      </c>
      <c r="C86" s="702" t="s">
        <v>1022</v>
      </c>
      <c r="D86" s="714">
        <v>2396</v>
      </c>
      <c r="E86" s="693" t="s">
        <v>552</v>
      </c>
    </row>
    <row r="87" spans="1:5" ht="25.5">
      <c r="A87" s="719">
        <v>7130320049</v>
      </c>
      <c r="B87" s="721" t="s">
        <v>95</v>
      </c>
      <c r="C87" s="702" t="s">
        <v>1022</v>
      </c>
      <c r="D87" s="714">
        <v>2524</v>
      </c>
      <c r="E87" s="693"/>
    </row>
    <row r="88" spans="1:5" ht="25.5">
      <c r="A88" s="719">
        <v>7130320053</v>
      </c>
      <c r="B88" s="718" t="s">
        <v>1510</v>
      </c>
      <c r="C88" s="702" t="s">
        <v>1061</v>
      </c>
      <c r="D88" s="714">
        <v>5</v>
      </c>
      <c r="E88" s="693" t="s">
        <v>553</v>
      </c>
    </row>
    <row r="89" spans="1:5" ht="25.5">
      <c r="A89" s="719">
        <v>7130352010</v>
      </c>
      <c r="B89" s="718" t="s">
        <v>1354</v>
      </c>
      <c r="C89" s="710" t="s">
        <v>1022</v>
      </c>
      <c r="D89" s="714">
        <v>35084</v>
      </c>
      <c r="E89" s="693" t="s">
        <v>554</v>
      </c>
    </row>
    <row r="90" spans="1:5" ht="12.75">
      <c r="A90" s="724">
        <v>7130352030</v>
      </c>
      <c r="B90" s="725" t="s">
        <v>1511</v>
      </c>
      <c r="C90" s="704" t="s">
        <v>1022</v>
      </c>
      <c r="D90" s="707">
        <v>804</v>
      </c>
      <c r="E90" s="693"/>
    </row>
    <row r="91" spans="1:5" ht="12.75">
      <c r="A91" s="724">
        <v>7130352031</v>
      </c>
      <c r="B91" s="725" t="s">
        <v>1512</v>
      </c>
      <c r="C91" s="704" t="s">
        <v>1022</v>
      </c>
      <c r="D91" s="707">
        <v>804</v>
      </c>
      <c r="E91" s="693" t="s">
        <v>555</v>
      </c>
    </row>
    <row r="92" spans="1:5" ht="12.75">
      <c r="A92" s="724">
        <v>7130352032</v>
      </c>
      <c r="B92" s="725" t="s">
        <v>1513</v>
      </c>
      <c r="C92" s="704" t="s">
        <v>1022</v>
      </c>
      <c r="D92" s="707">
        <v>863</v>
      </c>
      <c r="E92" s="289"/>
    </row>
    <row r="93" spans="1:5" ht="12.75">
      <c r="A93" s="724">
        <v>7130352033</v>
      </c>
      <c r="B93" s="725" t="s">
        <v>731</v>
      </c>
      <c r="C93" s="704" t="s">
        <v>1022</v>
      </c>
      <c r="D93" s="707">
        <v>1213</v>
      </c>
      <c r="E93" s="289"/>
    </row>
    <row r="94" spans="1:5" ht="12.75">
      <c r="A94" s="724">
        <v>7130352034</v>
      </c>
      <c r="B94" s="725" t="s">
        <v>732</v>
      </c>
      <c r="C94" s="704" t="s">
        <v>1022</v>
      </c>
      <c r="D94" s="707">
        <v>1808</v>
      </c>
      <c r="E94" s="289"/>
    </row>
    <row r="95" spans="1:5" ht="12.75" customHeight="1">
      <c r="A95" s="724">
        <v>7130352035</v>
      </c>
      <c r="B95" s="725" t="s">
        <v>733</v>
      </c>
      <c r="C95" s="704" t="s">
        <v>1022</v>
      </c>
      <c r="D95" s="707">
        <v>2923</v>
      </c>
      <c r="E95" s="289"/>
    </row>
    <row r="96" spans="1:5" ht="12.75">
      <c r="A96" s="724">
        <v>7130352036</v>
      </c>
      <c r="B96" s="725" t="s">
        <v>734</v>
      </c>
      <c r="C96" s="704" t="s">
        <v>1022</v>
      </c>
      <c r="D96" s="707">
        <v>3735</v>
      </c>
      <c r="E96" s="289"/>
    </row>
    <row r="97" spans="1:5" ht="25.5">
      <c r="A97" s="719">
        <v>7130352037</v>
      </c>
      <c r="B97" s="718" t="s">
        <v>817</v>
      </c>
      <c r="C97" s="710" t="s">
        <v>1022</v>
      </c>
      <c r="D97" s="714">
        <v>21050</v>
      </c>
      <c r="E97" s="693" t="s">
        <v>556</v>
      </c>
    </row>
    <row r="98" spans="1:5" ht="12.75">
      <c r="A98" s="709">
        <v>7130352038</v>
      </c>
      <c r="B98" s="725" t="s">
        <v>739</v>
      </c>
      <c r="C98" s="704" t="s">
        <v>1022</v>
      </c>
      <c r="D98" s="707">
        <v>7880</v>
      </c>
      <c r="E98" s="289"/>
    </row>
    <row r="99" spans="1:5" ht="12.75">
      <c r="A99" s="709">
        <v>7130352039</v>
      </c>
      <c r="B99" s="725" t="s">
        <v>740</v>
      </c>
      <c r="C99" s="704" t="s">
        <v>1022</v>
      </c>
      <c r="D99" s="711">
        <v>8701</v>
      </c>
      <c r="E99" s="289" t="s">
        <v>557</v>
      </c>
    </row>
    <row r="100" spans="1:5" ht="12.75">
      <c r="A100" s="709">
        <v>7130352040</v>
      </c>
      <c r="B100" s="725" t="s">
        <v>741</v>
      </c>
      <c r="C100" s="704" t="s">
        <v>1022</v>
      </c>
      <c r="D100" s="707">
        <v>10187</v>
      </c>
      <c r="E100" s="289" t="s">
        <v>558</v>
      </c>
    </row>
    <row r="101" spans="1:5" ht="12.75">
      <c r="A101" s="709">
        <v>7130352041</v>
      </c>
      <c r="B101" s="725" t="s">
        <v>742</v>
      </c>
      <c r="C101" s="704" t="s">
        <v>1022</v>
      </c>
      <c r="D101" s="711">
        <v>10751</v>
      </c>
      <c r="E101" s="289" t="s">
        <v>559</v>
      </c>
    </row>
    <row r="102" spans="1:5" ht="12.75">
      <c r="A102" s="709">
        <v>7130352042</v>
      </c>
      <c r="B102" s="725" t="s">
        <v>743</v>
      </c>
      <c r="C102" s="704" t="s">
        <v>1022</v>
      </c>
      <c r="D102" s="711">
        <v>11000</v>
      </c>
      <c r="E102" s="289" t="s">
        <v>560</v>
      </c>
    </row>
    <row r="103" spans="1:5" ht="12.75">
      <c r="A103" s="719">
        <v>7130352043</v>
      </c>
      <c r="B103" s="725" t="s">
        <v>740</v>
      </c>
      <c r="C103" s="702" t="s">
        <v>1022</v>
      </c>
      <c r="D103" s="727">
        <v>2406</v>
      </c>
      <c r="E103" s="289" t="s">
        <v>561</v>
      </c>
    </row>
    <row r="104" spans="1:5" ht="12.75">
      <c r="A104" s="719">
        <v>7130352044</v>
      </c>
      <c r="B104" s="725" t="s">
        <v>742</v>
      </c>
      <c r="C104" s="702" t="s">
        <v>1022</v>
      </c>
      <c r="D104" s="727">
        <v>2561</v>
      </c>
      <c r="E104" s="289" t="s">
        <v>562</v>
      </c>
    </row>
    <row r="105" spans="1:5" ht="12.75">
      <c r="A105" s="719">
        <v>7130352045</v>
      </c>
      <c r="B105" s="725" t="s">
        <v>743</v>
      </c>
      <c r="C105" s="702" t="s">
        <v>1022</v>
      </c>
      <c r="D105" s="727">
        <v>2630</v>
      </c>
      <c r="E105" s="289" t="s">
        <v>563</v>
      </c>
    </row>
    <row r="106" spans="1:5" ht="12.75">
      <c r="A106" s="726">
        <v>7130352046</v>
      </c>
      <c r="B106" s="705" t="s">
        <v>1571</v>
      </c>
      <c r="C106" s="706" t="s">
        <v>1023</v>
      </c>
      <c r="D106" s="708">
        <v>3096</v>
      </c>
      <c r="E106" s="289" t="s">
        <v>564</v>
      </c>
    </row>
    <row r="107" spans="1:5" ht="12.75">
      <c r="A107" s="719">
        <v>7130354274</v>
      </c>
      <c r="B107" s="721" t="s">
        <v>1792</v>
      </c>
      <c r="C107" s="702" t="s">
        <v>1680</v>
      </c>
      <c r="D107" s="722">
        <v>2</v>
      </c>
      <c r="E107" s="289" t="s">
        <v>565</v>
      </c>
    </row>
    <row r="108" spans="1:5" ht="12.75">
      <c r="A108" s="719">
        <v>7130354275</v>
      </c>
      <c r="B108" s="721" t="s">
        <v>1793</v>
      </c>
      <c r="C108" s="702" t="s">
        <v>1680</v>
      </c>
      <c r="D108" s="722">
        <v>2</v>
      </c>
      <c r="E108" s="289" t="s">
        <v>890</v>
      </c>
    </row>
    <row r="109" spans="1:5" ht="12.75">
      <c r="A109" s="719">
        <v>7130354276</v>
      </c>
      <c r="B109" s="721" t="s">
        <v>1794</v>
      </c>
      <c r="C109" s="702" t="s">
        <v>1680</v>
      </c>
      <c r="D109" s="722">
        <v>4</v>
      </c>
      <c r="E109" s="289"/>
    </row>
    <row r="110" spans="1:5" ht="12.75">
      <c r="A110" s="719">
        <v>7130354277</v>
      </c>
      <c r="B110" s="721" t="s">
        <v>1795</v>
      </c>
      <c r="C110" s="702" t="s">
        <v>1680</v>
      </c>
      <c r="D110" s="722">
        <v>5</v>
      </c>
      <c r="E110" s="289"/>
    </row>
    <row r="111" spans="1:5" ht="12.75">
      <c r="A111" s="719">
        <v>7130354278</v>
      </c>
      <c r="B111" s="721" t="s">
        <v>1796</v>
      </c>
      <c r="C111" s="702" t="s">
        <v>1680</v>
      </c>
      <c r="D111" s="722">
        <v>8</v>
      </c>
      <c r="E111" s="289" t="s">
        <v>891</v>
      </c>
    </row>
    <row r="112" spans="1:5" ht="12.75">
      <c r="A112" s="719">
        <v>7130354279</v>
      </c>
      <c r="B112" s="721" t="s">
        <v>1797</v>
      </c>
      <c r="C112" s="702" t="s">
        <v>1680</v>
      </c>
      <c r="D112" s="722">
        <v>13</v>
      </c>
      <c r="E112" s="289" t="s">
        <v>892</v>
      </c>
    </row>
    <row r="113" spans="1:5" ht="12.75">
      <c r="A113" s="719">
        <v>7130354280</v>
      </c>
      <c r="B113" s="721" t="s">
        <v>1798</v>
      </c>
      <c r="C113" s="702" t="s">
        <v>1680</v>
      </c>
      <c r="D113" s="722">
        <v>16</v>
      </c>
      <c r="E113" s="289" t="s">
        <v>893</v>
      </c>
    </row>
    <row r="114" spans="1:5" ht="12.75" customHeight="1">
      <c r="A114" s="719">
        <v>7130354281</v>
      </c>
      <c r="B114" s="721" t="s">
        <v>1799</v>
      </c>
      <c r="C114" s="702" t="s">
        <v>1680</v>
      </c>
      <c r="D114" s="722">
        <v>22</v>
      </c>
      <c r="E114" s="289" t="s">
        <v>894</v>
      </c>
    </row>
    <row r="115" spans="1:5" ht="17.25" customHeight="1">
      <c r="A115" s="719">
        <v>7130354282</v>
      </c>
      <c r="B115" s="721" t="s">
        <v>1800</v>
      </c>
      <c r="C115" s="702" t="s">
        <v>1680</v>
      </c>
      <c r="D115" s="722">
        <v>25</v>
      </c>
      <c r="E115" s="289" t="s">
        <v>895</v>
      </c>
    </row>
    <row r="116" spans="1:5" ht="12.75">
      <c r="A116" s="719">
        <v>7130354283</v>
      </c>
      <c r="B116" s="721" t="s">
        <v>1722</v>
      </c>
      <c r="C116" s="702" t="s">
        <v>1680</v>
      </c>
      <c r="D116" s="722">
        <v>40</v>
      </c>
      <c r="E116" s="289"/>
    </row>
    <row r="117" spans="1:5" ht="12.75">
      <c r="A117" s="719">
        <v>7130354284</v>
      </c>
      <c r="B117" s="721" t="s">
        <v>1723</v>
      </c>
      <c r="C117" s="702" t="s">
        <v>1680</v>
      </c>
      <c r="D117" s="722">
        <v>46</v>
      </c>
      <c r="E117" s="289"/>
    </row>
    <row r="118" spans="1:5" ht="12.75" customHeight="1">
      <c r="A118" s="719">
        <v>7130354285</v>
      </c>
      <c r="B118" s="721" t="s">
        <v>1724</v>
      </c>
      <c r="C118" s="702" t="s">
        <v>1680</v>
      </c>
      <c r="D118" s="722">
        <v>66</v>
      </c>
      <c r="E118" s="289"/>
    </row>
    <row r="119" spans="1:5" ht="12.75">
      <c r="A119" s="719">
        <v>7130354286</v>
      </c>
      <c r="B119" s="721" t="s">
        <v>1725</v>
      </c>
      <c r="C119" s="702" t="s">
        <v>1680</v>
      </c>
      <c r="D119" s="722">
        <v>77</v>
      </c>
      <c r="E119" s="289" t="s">
        <v>896</v>
      </c>
    </row>
    <row r="120" spans="1:5" ht="12.75">
      <c r="A120" s="719">
        <v>7130354287</v>
      </c>
      <c r="B120" s="721" t="s">
        <v>1726</v>
      </c>
      <c r="C120" s="702" t="s">
        <v>1680</v>
      </c>
      <c r="D120" s="722">
        <v>100</v>
      </c>
      <c r="E120" s="289"/>
    </row>
    <row r="121" spans="1:5" ht="25.5">
      <c r="A121" s="702">
        <v>7130354442</v>
      </c>
      <c r="B121" s="718" t="s">
        <v>1505</v>
      </c>
      <c r="C121" s="714" t="s">
        <v>1680</v>
      </c>
      <c r="D121" s="714">
        <v>627</v>
      </c>
      <c r="E121" s="693" t="s">
        <v>897</v>
      </c>
    </row>
    <row r="122" spans="1:5" ht="38.25">
      <c r="A122" s="702">
        <v>7130390003</v>
      </c>
      <c r="B122" s="718" t="s">
        <v>1502</v>
      </c>
      <c r="C122" s="714" t="s">
        <v>1680</v>
      </c>
      <c r="D122" s="714">
        <v>80</v>
      </c>
      <c r="E122" s="693" t="s">
        <v>898</v>
      </c>
    </row>
    <row r="123" spans="1:5" ht="38.25">
      <c r="A123" s="702">
        <v>7130390004</v>
      </c>
      <c r="B123" s="718" t="s">
        <v>1503</v>
      </c>
      <c r="C123" s="714" t="s">
        <v>1680</v>
      </c>
      <c r="D123" s="714">
        <v>104</v>
      </c>
      <c r="E123" s="693" t="s">
        <v>899</v>
      </c>
    </row>
    <row r="124" spans="1:5" ht="39.75" customHeight="1">
      <c r="A124" s="702">
        <v>7130390005</v>
      </c>
      <c r="B124" s="718" t="s">
        <v>1504</v>
      </c>
      <c r="C124" s="714" t="s">
        <v>1680</v>
      </c>
      <c r="D124" s="714">
        <v>145</v>
      </c>
      <c r="E124" s="693" t="s">
        <v>1281</v>
      </c>
    </row>
    <row r="125" spans="1:5" ht="18" customHeight="1">
      <c r="A125" s="719">
        <v>7130390006</v>
      </c>
      <c r="B125" s="718" t="s">
        <v>1509</v>
      </c>
      <c r="C125" s="702" t="s">
        <v>1130</v>
      </c>
      <c r="D125" s="722">
        <v>149</v>
      </c>
      <c r="E125" s="693" t="s">
        <v>1282</v>
      </c>
    </row>
    <row r="126" spans="1:5" ht="16.5" customHeight="1">
      <c r="A126" s="702">
        <v>7130390007</v>
      </c>
      <c r="B126" s="718" t="s">
        <v>1337</v>
      </c>
      <c r="C126" s="714" t="s">
        <v>1680</v>
      </c>
      <c r="D126" s="714">
        <v>172</v>
      </c>
      <c r="E126" s="693" t="s">
        <v>1283</v>
      </c>
    </row>
    <row r="127" spans="1:6" ht="25.5" hidden="1">
      <c r="A127" s="1199">
        <v>7130390008</v>
      </c>
      <c r="B127" s="1218" t="s">
        <v>606</v>
      </c>
      <c r="C127" s="1199" t="s">
        <v>1130</v>
      </c>
      <c r="D127" s="1207" t="s">
        <v>122</v>
      </c>
      <c r="E127" s="1214"/>
      <c r="F127" s="887"/>
    </row>
    <row r="128" spans="1:6" ht="25.5" hidden="1">
      <c r="A128" s="1199">
        <v>7130390017</v>
      </c>
      <c r="B128" s="1210" t="s">
        <v>109</v>
      </c>
      <c r="C128" s="1199" t="s">
        <v>1130</v>
      </c>
      <c r="D128" s="1207" t="s">
        <v>122</v>
      </c>
      <c r="E128" s="1214"/>
      <c r="F128" s="887"/>
    </row>
    <row r="129" spans="1:6" ht="25.5" hidden="1">
      <c r="A129" s="1199">
        <v>7130390018</v>
      </c>
      <c r="B129" s="1218" t="s">
        <v>110</v>
      </c>
      <c r="C129" s="1199" t="s">
        <v>1130</v>
      </c>
      <c r="D129" s="1207" t="s">
        <v>122</v>
      </c>
      <c r="E129" s="1214"/>
      <c r="F129" s="887"/>
    </row>
    <row r="130" spans="1:5" ht="17.25" customHeight="1">
      <c r="A130" s="719">
        <v>7130390019</v>
      </c>
      <c r="B130" s="718" t="s">
        <v>1338</v>
      </c>
      <c r="C130" s="702" t="s">
        <v>1680</v>
      </c>
      <c r="D130" s="722">
        <v>28</v>
      </c>
      <c r="E130" s="693" t="s">
        <v>1284</v>
      </c>
    </row>
    <row r="131" spans="1:5" ht="17.25" customHeight="1">
      <c r="A131" s="715">
        <v>7130600023</v>
      </c>
      <c r="B131" s="713" t="s">
        <v>1871</v>
      </c>
      <c r="C131" s="710" t="s">
        <v>577</v>
      </c>
      <c r="D131" s="714">
        <v>40214</v>
      </c>
      <c r="E131" s="693" t="s">
        <v>1285</v>
      </c>
    </row>
    <row r="132" spans="1:5" ht="17.25" customHeight="1">
      <c r="A132" s="715">
        <v>7130600032</v>
      </c>
      <c r="B132" s="713" t="s">
        <v>1870</v>
      </c>
      <c r="C132" s="710" t="s">
        <v>577</v>
      </c>
      <c r="D132" s="714">
        <v>40214</v>
      </c>
      <c r="E132" s="693" t="s">
        <v>1286</v>
      </c>
    </row>
    <row r="133" spans="1:5" ht="17.25" customHeight="1">
      <c r="A133" s="715">
        <v>7130600051</v>
      </c>
      <c r="B133" s="713" t="s">
        <v>907</v>
      </c>
      <c r="C133" s="710" t="s">
        <v>577</v>
      </c>
      <c r="D133" s="714">
        <v>40214</v>
      </c>
      <c r="E133" s="693" t="s">
        <v>1287</v>
      </c>
    </row>
    <row r="134" spans="1:6" ht="25.5" hidden="1">
      <c r="A134" s="1220">
        <v>7130600075</v>
      </c>
      <c r="B134" s="1210" t="s">
        <v>1626</v>
      </c>
      <c r="C134" s="1199" t="s">
        <v>1130</v>
      </c>
      <c r="D134" s="1207" t="s">
        <v>122</v>
      </c>
      <c r="E134" s="1202" t="s">
        <v>1288</v>
      </c>
      <c r="F134" s="887"/>
    </row>
    <row r="135" spans="1:5" ht="12.75">
      <c r="A135" s="710">
        <v>7130600166</v>
      </c>
      <c r="B135" s="713" t="s">
        <v>1867</v>
      </c>
      <c r="C135" s="710" t="s">
        <v>577</v>
      </c>
      <c r="D135" s="714">
        <v>40214</v>
      </c>
      <c r="E135" s="693" t="s">
        <v>1289</v>
      </c>
    </row>
    <row r="136" spans="1:5" ht="12.75">
      <c r="A136" s="717">
        <v>7130600173</v>
      </c>
      <c r="B136" s="713" t="s">
        <v>1869</v>
      </c>
      <c r="C136" s="710" t="s">
        <v>577</v>
      </c>
      <c r="D136" s="714">
        <v>40214</v>
      </c>
      <c r="E136" s="693" t="s">
        <v>1290</v>
      </c>
    </row>
    <row r="137" spans="1:5" ht="21" customHeight="1">
      <c r="A137" s="710">
        <v>7130600230</v>
      </c>
      <c r="B137" s="713" t="s">
        <v>1866</v>
      </c>
      <c r="C137" s="710" t="s">
        <v>577</v>
      </c>
      <c r="D137" s="714">
        <v>40214</v>
      </c>
      <c r="E137" s="693" t="s">
        <v>316</v>
      </c>
    </row>
    <row r="138" spans="1:5" ht="22.5" customHeight="1">
      <c r="A138" s="710">
        <v>7130600495</v>
      </c>
      <c r="B138" s="713" t="s">
        <v>1868</v>
      </c>
      <c r="C138" s="710" t="s">
        <v>577</v>
      </c>
      <c r="D138" s="714">
        <v>40214</v>
      </c>
      <c r="E138" s="693" t="s">
        <v>317</v>
      </c>
    </row>
    <row r="139" spans="1:5" ht="15" customHeight="1">
      <c r="A139" s="712">
        <v>7130600635</v>
      </c>
      <c r="B139" s="705" t="s">
        <v>582</v>
      </c>
      <c r="C139" s="706" t="s">
        <v>577</v>
      </c>
      <c r="D139" s="708">
        <v>44989</v>
      </c>
      <c r="E139" s="693" t="s">
        <v>318</v>
      </c>
    </row>
    <row r="140" spans="1:5" ht="12.75" customHeight="1">
      <c r="A140" s="712">
        <v>7130600675</v>
      </c>
      <c r="B140" s="705" t="s">
        <v>581</v>
      </c>
      <c r="C140" s="706" t="s">
        <v>577</v>
      </c>
      <c r="D140" s="708">
        <v>44989</v>
      </c>
      <c r="E140" s="693" t="s">
        <v>319</v>
      </c>
    </row>
    <row r="141" spans="1:5" ht="12.75">
      <c r="A141" s="712">
        <v>7130601070</v>
      </c>
      <c r="B141" s="716" t="s">
        <v>576</v>
      </c>
      <c r="C141" s="706" t="s">
        <v>577</v>
      </c>
      <c r="D141" s="708">
        <v>47741</v>
      </c>
      <c r="E141" s="693" t="s">
        <v>320</v>
      </c>
    </row>
    <row r="142" spans="1:5" ht="12.75">
      <c r="A142" s="712">
        <v>7130601072</v>
      </c>
      <c r="B142" s="716" t="s">
        <v>578</v>
      </c>
      <c r="C142" s="706" t="s">
        <v>577</v>
      </c>
      <c r="D142" s="708">
        <v>47741</v>
      </c>
      <c r="E142" s="693" t="s">
        <v>321</v>
      </c>
    </row>
    <row r="143" spans="1:5" ht="12.75">
      <c r="A143" s="712">
        <v>7130601958</v>
      </c>
      <c r="B143" s="705" t="s">
        <v>579</v>
      </c>
      <c r="C143" s="706" t="s">
        <v>577</v>
      </c>
      <c r="D143" s="708">
        <v>44989</v>
      </c>
      <c r="E143" s="693" t="s">
        <v>322</v>
      </c>
    </row>
    <row r="144" spans="1:5" ht="12.75">
      <c r="A144" s="712">
        <v>7130601965</v>
      </c>
      <c r="B144" s="705" t="s">
        <v>580</v>
      </c>
      <c r="C144" s="706" t="s">
        <v>577</v>
      </c>
      <c r="D144" s="708">
        <v>44989</v>
      </c>
      <c r="E144" s="693" t="s">
        <v>323</v>
      </c>
    </row>
    <row r="145" spans="1:5" ht="12.75">
      <c r="A145" s="715">
        <v>7130610206</v>
      </c>
      <c r="B145" s="713" t="s">
        <v>572</v>
      </c>
      <c r="C145" s="710" t="s">
        <v>577</v>
      </c>
      <c r="D145" s="714">
        <v>66528</v>
      </c>
      <c r="E145" s="693" t="s">
        <v>324</v>
      </c>
    </row>
    <row r="146" spans="1:5" ht="15.75" customHeight="1">
      <c r="A146" s="715">
        <v>7130620013</v>
      </c>
      <c r="B146" s="713" t="s">
        <v>249</v>
      </c>
      <c r="C146" s="710" t="s">
        <v>1061</v>
      </c>
      <c r="D146" s="714">
        <v>118</v>
      </c>
      <c r="E146" s="693" t="s">
        <v>325</v>
      </c>
    </row>
    <row r="147" spans="1:5" ht="15.75" customHeight="1">
      <c r="A147" s="717">
        <v>7130620049</v>
      </c>
      <c r="B147" s="713" t="s">
        <v>1659</v>
      </c>
      <c r="C147" s="710" t="s">
        <v>1070</v>
      </c>
      <c r="D147" s="714">
        <v>64</v>
      </c>
      <c r="E147" s="693"/>
    </row>
    <row r="148" spans="1:5" ht="12.75">
      <c r="A148" s="710">
        <v>7130620133</v>
      </c>
      <c r="B148" s="713" t="s">
        <v>1033</v>
      </c>
      <c r="C148" s="710" t="s">
        <v>1070</v>
      </c>
      <c r="D148" s="714">
        <v>89</v>
      </c>
      <c r="E148" s="693" t="s">
        <v>326</v>
      </c>
    </row>
    <row r="149" spans="1:5" ht="15.75" customHeight="1">
      <c r="A149" s="710">
        <v>7130620140</v>
      </c>
      <c r="B149" s="713" t="s">
        <v>1949</v>
      </c>
      <c r="C149" s="710" t="s">
        <v>1070</v>
      </c>
      <c r="D149" s="714">
        <v>89</v>
      </c>
      <c r="E149" s="693" t="s">
        <v>327</v>
      </c>
    </row>
    <row r="150" spans="1:5" ht="21" customHeight="1">
      <c r="A150" s="710">
        <v>7130620573</v>
      </c>
      <c r="B150" s="713" t="s">
        <v>328</v>
      </c>
      <c r="C150" s="710" t="s">
        <v>1070</v>
      </c>
      <c r="D150" s="714">
        <v>64</v>
      </c>
      <c r="E150" s="693" t="s">
        <v>1191</v>
      </c>
    </row>
    <row r="151" spans="1:5" ht="17.25" customHeight="1">
      <c r="A151" s="715">
        <v>7130620575</v>
      </c>
      <c r="B151" s="713" t="s">
        <v>1660</v>
      </c>
      <c r="C151" s="710" t="s">
        <v>1070</v>
      </c>
      <c r="D151" s="714">
        <v>65</v>
      </c>
      <c r="E151" s="693" t="s">
        <v>1192</v>
      </c>
    </row>
    <row r="152" spans="1:5" ht="17.25" customHeight="1">
      <c r="A152" s="715">
        <v>7130620577</v>
      </c>
      <c r="B152" s="713" t="s">
        <v>1661</v>
      </c>
      <c r="C152" s="710" t="s">
        <v>1070</v>
      </c>
      <c r="D152" s="714">
        <v>65</v>
      </c>
      <c r="E152" s="693" t="s">
        <v>1193</v>
      </c>
    </row>
    <row r="153" spans="1:5" ht="16.5" customHeight="1">
      <c r="A153" s="715">
        <v>7130620609</v>
      </c>
      <c r="B153" s="713" t="s">
        <v>1033</v>
      </c>
      <c r="C153" s="710" t="s">
        <v>1070</v>
      </c>
      <c r="D153" s="714">
        <v>64</v>
      </c>
      <c r="E153" s="693" t="s">
        <v>1194</v>
      </c>
    </row>
    <row r="154" spans="1:5" ht="17.25" customHeight="1">
      <c r="A154" s="715">
        <v>7130620614</v>
      </c>
      <c r="B154" s="713" t="s">
        <v>1949</v>
      </c>
      <c r="C154" s="710" t="s">
        <v>1070</v>
      </c>
      <c r="D154" s="714">
        <v>63</v>
      </c>
      <c r="E154" s="693" t="s">
        <v>1195</v>
      </c>
    </row>
    <row r="155" spans="1:5" ht="17.25" customHeight="1">
      <c r="A155" s="715">
        <v>7130620619</v>
      </c>
      <c r="B155" s="713" t="s">
        <v>1950</v>
      </c>
      <c r="C155" s="710" t="s">
        <v>1070</v>
      </c>
      <c r="D155" s="714">
        <v>63</v>
      </c>
      <c r="E155" s="693" t="s">
        <v>1196</v>
      </c>
    </row>
    <row r="156" spans="1:5" ht="17.25" customHeight="1">
      <c r="A156" s="715">
        <v>7130620621</v>
      </c>
      <c r="B156" s="713" t="s">
        <v>1662</v>
      </c>
      <c r="C156" s="710" t="s">
        <v>1070</v>
      </c>
      <c r="D156" s="714">
        <v>62</v>
      </c>
      <c r="E156" s="693" t="s">
        <v>1197</v>
      </c>
    </row>
    <row r="157" spans="1:5" ht="17.25" customHeight="1">
      <c r="A157" s="715">
        <v>7130620625</v>
      </c>
      <c r="B157" s="713" t="s">
        <v>1951</v>
      </c>
      <c r="C157" s="710" t="s">
        <v>1070</v>
      </c>
      <c r="D157" s="714">
        <v>62</v>
      </c>
      <c r="E157" s="693" t="s">
        <v>1198</v>
      </c>
    </row>
    <row r="158" spans="1:5" ht="17.25" customHeight="1">
      <c r="A158" s="715">
        <v>7130620627</v>
      </c>
      <c r="B158" s="713" t="s">
        <v>1952</v>
      </c>
      <c r="C158" s="710" t="s">
        <v>1070</v>
      </c>
      <c r="D158" s="714">
        <v>62</v>
      </c>
      <c r="E158" s="693" t="s">
        <v>1199</v>
      </c>
    </row>
    <row r="159" spans="1:5" ht="17.25" customHeight="1">
      <c r="A159" s="715">
        <v>7130620631</v>
      </c>
      <c r="B159" s="713" t="s">
        <v>1965</v>
      </c>
      <c r="C159" s="710" t="s">
        <v>1070</v>
      </c>
      <c r="D159" s="714">
        <v>62</v>
      </c>
      <c r="E159" s="693" t="s">
        <v>1200</v>
      </c>
    </row>
    <row r="160" spans="1:5" ht="17.25" customHeight="1">
      <c r="A160" s="715">
        <v>7130620636</v>
      </c>
      <c r="B160" s="713" t="s">
        <v>1664</v>
      </c>
      <c r="C160" s="710" t="s">
        <v>1070</v>
      </c>
      <c r="D160" s="714">
        <v>62</v>
      </c>
      <c r="E160" s="693" t="s">
        <v>1201</v>
      </c>
    </row>
    <row r="161" spans="1:5" ht="17.25" customHeight="1">
      <c r="A161" s="715">
        <v>7130620637</v>
      </c>
      <c r="B161" s="713" t="s">
        <v>1663</v>
      </c>
      <c r="C161" s="710" t="s">
        <v>1070</v>
      </c>
      <c r="D161" s="714">
        <v>62</v>
      </c>
      <c r="E161" s="693" t="s">
        <v>1202</v>
      </c>
    </row>
    <row r="162" spans="1:5" ht="17.25" customHeight="1">
      <c r="A162" s="715">
        <v>7130620713</v>
      </c>
      <c r="B162" s="713" t="s">
        <v>1665</v>
      </c>
      <c r="C162" s="710" t="s">
        <v>1070</v>
      </c>
      <c r="D162" s="714">
        <v>62</v>
      </c>
      <c r="E162" s="693" t="s">
        <v>1203</v>
      </c>
    </row>
    <row r="163" spans="1:5" ht="18.75" customHeight="1">
      <c r="A163" s="715">
        <v>7130620716</v>
      </c>
      <c r="B163" s="713" t="s">
        <v>1666</v>
      </c>
      <c r="C163" s="710" t="s">
        <v>1070</v>
      </c>
      <c r="D163" s="714">
        <v>62</v>
      </c>
      <c r="E163" s="693" t="s">
        <v>1204</v>
      </c>
    </row>
    <row r="164" spans="1:8" ht="18.75" customHeight="1">
      <c r="A164" s="715">
        <v>7130620719</v>
      </c>
      <c r="B164" s="713" t="s">
        <v>1667</v>
      </c>
      <c r="C164" s="710" t="s">
        <v>1070</v>
      </c>
      <c r="D164" s="714">
        <v>62</v>
      </c>
      <c r="E164" s="693" t="s">
        <v>1205</v>
      </c>
      <c r="G164" s="145"/>
      <c r="H164" s="145"/>
    </row>
    <row r="165" spans="1:8" ht="18.75" customHeight="1">
      <c r="A165" s="715">
        <v>7130620829</v>
      </c>
      <c r="B165" s="713" t="s">
        <v>1668</v>
      </c>
      <c r="C165" s="710" t="s">
        <v>1070</v>
      </c>
      <c r="D165" s="714">
        <v>62</v>
      </c>
      <c r="E165" s="693" t="s">
        <v>1206</v>
      </c>
      <c r="G165" s="145"/>
      <c r="H165" s="145"/>
    </row>
    <row r="166" spans="1:8" ht="18.75" customHeight="1">
      <c r="A166" s="715">
        <v>7130621892</v>
      </c>
      <c r="B166" s="713" t="s">
        <v>250</v>
      </c>
      <c r="C166" s="710" t="s">
        <v>1061</v>
      </c>
      <c r="D166" s="714">
        <v>395</v>
      </c>
      <c r="E166" s="693" t="s">
        <v>1207</v>
      </c>
      <c r="G166" s="145"/>
      <c r="H166" s="145"/>
    </row>
    <row r="167" spans="1:5" ht="25.5" customHeight="1">
      <c r="A167" s="702">
        <v>7130622922</v>
      </c>
      <c r="B167" s="718" t="s">
        <v>1669</v>
      </c>
      <c r="C167" s="710" t="s">
        <v>1070</v>
      </c>
      <c r="D167" s="714">
        <v>127</v>
      </c>
      <c r="E167" s="693" t="s">
        <v>1208</v>
      </c>
    </row>
    <row r="168" spans="1:5" ht="25.5">
      <c r="A168" s="719">
        <v>7130640027</v>
      </c>
      <c r="B168" s="730" t="s">
        <v>2195</v>
      </c>
      <c r="C168" s="738" t="s">
        <v>1295</v>
      </c>
      <c r="D168" s="714">
        <v>929</v>
      </c>
      <c r="E168" s="693" t="s">
        <v>1209</v>
      </c>
    </row>
    <row r="169" spans="1:5" ht="20.25" customHeight="1">
      <c r="A169" s="719">
        <v>7130640028</v>
      </c>
      <c r="B169" s="730" t="s">
        <v>941</v>
      </c>
      <c r="C169" s="738" t="s">
        <v>1680</v>
      </c>
      <c r="D169" s="714">
        <v>805</v>
      </c>
      <c r="E169" s="693" t="s">
        <v>1210</v>
      </c>
    </row>
    <row r="170" spans="1:5" ht="25.5">
      <c r="A170" s="717">
        <v>7130640029</v>
      </c>
      <c r="B170" s="730" t="s">
        <v>2196</v>
      </c>
      <c r="C170" s="738" t="s">
        <v>1065</v>
      </c>
      <c r="D170" s="714">
        <v>3220</v>
      </c>
      <c r="E170" s="693" t="s">
        <v>1211</v>
      </c>
    </row>
    <row r="171" spans="1:5" ht="12.75">
      <c r="A171" s="719">
        <v>7130640030</v>
      </c>
      <c r="B171" s="703" t="s">
        <v>1049</v>
      </c>
      <c r="C171" s="702" t="s">
        <v>1130</v>
      </c>
      <c r="D171" s="722">
        <v>3857</v>
      </c>
      <c r="E171" s="693"/>
    </row>
    <row r="172" spans="1:5" ht="12.75">
      <c r="A172" s="719">
        <v>7130640036</v>
      </c>
      <c r="B172" s="703" t="s">
        <v>1050</v>
      </c>
      <c r="C172" s="702" t="s">
        <v>1130</v>
      </c>
      <c r="D172" s="722">
        <v>7661</v>
      </c>
      <c r="E172" s="693" t="s">
        <v>1212</v>
      </c>
    </row>
    <row r="173" spans="1:5" ht="25.5">
      <c r="A173" s="719">
        <v>7130640037</v>
      </c>
      <c r="B173" s="718" t="s">
        <v>489</v>
      </c>
      <c r="C173" s="710" t="s">
        <v>880</v>
      </c>
      <c r="D173" s="722">
        <v>918</v>
      </c>
      <c r="E173" s="693" t="s">
        <v>1213</v>
      </c>
    </row>
    <row r="174" spans="1:5" ht="18.75" customHeight="1">
      <c r="A174" s="702">
        <v>7130641396</v>
      </c>
      <c r="B174" s="718" t="s">
        <v>1670</v>
      </c>
      <c r="C174" s="702" t="s">
        <v>1671</v>
      </c>
      <c r="D174" s="722">
        <v>190</v>
      </c>
      <c r="E174" s="693" t="s">
        <v>1214</v>
      </c>
    </row>
    <row r="175" spans="1:5" ht="51">
      <c r="A175" s="733">
        <v>7130642039</v>
      </c>
      <c r="B175" s="713" t="s">
        <v>1274</v>
      </c>
      <c r="C175" s="710" t="s">
        <v>1061</v>
      </c>
      <c r="D175" s="714">
        <v>820</v>
      </c>
      <c r="E175" s="693" t="s">
        <v>1215</v>
      </c>
    </row>
    <row r="176" spans="1:5" ht="25.5">
      <c r="A176" s="733">
        <v>7130642041</v>
      </c>
      <c r="B176" s="713" t="s">
        <v>653</v>
      </c>
      <c r="C176" s="710" t="s">
        <v>1061</v>
      </c>
      <c r="D176" s="714">
        <v>4169</v>
      </c>
      <c r="E176" s="693" t="s">
        <v>1216</v>
      </c>
    </row>
    <row r="177" spans="1:5" ht="80.25" customHeight="1">
      <c r="A177" s="719">
        <v>7130650001</v>
      </c>
      <c r="B177" s="718" t="s">
        <v>1982</v>
      </c>
      <c r="C177" s="702" t="s">
        <v>1983</v>
      </c>
      <c r="D177" s="722">
        <v>1131</v>
      </c>
      <c r="E177" s="289"/>
    </row>
    <row r="178" spans="1:5" ht="27" customHeight="1">
      <c r="A178" s="719">
        <v>7130670027</v>
      </c>
      <c r="B178" s="721" t="s">
        <v>1856</v>
      </c>
      <c r="C178" s="702" t="s">
        <v>1680</v>
      </c>
      <c r="D178" s="722">
        <v>119</v>
      </c>
      <c r="E178" s="289"/>
    </row>
    <row r="179" spans="1:5" ht="41.25" customHeight="1">
      <c r="A179" s="719">
        <v>7130797532</v>
      </c>
      <c r="B179" s="718" t="s">
        <v>1872</v>
      </c>
      <c r="C179" s="702" t="s">
        <v>1680</v>
      </c>
      <c r="D179" s="722">
        <v>599</v>
      </c>
      <c r="E179" s="693" t="s">
        <v>1217</v>
      </c>
    </row>
    <row r="180" spans="1:5" ht="41.25" customHeight="1">
      <c r="A180" s="719">
        <v>7130797533</v>
      </c>
      <c r="B180" s="718" t="s">
        <v>1359</v>
      </c>
      <c r="C180" s="702" t="s">
        <v>1680</v>
      </c>
      <c r="D180" s="722">
        <v>435</v>
      </c>
      <c r="E180" s="693" t="s">
        <v>1218</v>
      </c>
    </row>
    <row r="181" spans="1:6" ht="27" customHeight="1" hidden="1">
      <c r="A181" s="1201">
        <v>7130797533</v>
      </c>
      <c r="B181" s="1200" t="s">
        <v>1980</v>
      </c>
      <c r="C181" s="1201" t="s">
        <v>1130</v>
      </c>
      <c r="D181" s="1203" t="s">
        <v>123</v>
      </c>
      <c r="E181" s="1202" t="s">
        <v>1218</v>
      </c>
      <c r="F181" s="888"/>
    </row>
    <row r="182" spans="1:5" ht="15" customHeight="1">
      <c r="A182" s="715">
        <v>7130800012</v>
      </c>
      <c r="B182" s="713" t="s">
        <v>583</v>
      </c>
      <c r="C182" s="710" t="s">
        <v>1130</v>
      </c>
      <c r="D182" s="714">
        <v>1654</v>
      </c>
      <c r="E182" s="693" t="s">
        <v>1219</v>
      </c>
    </row>
    <row r="183" spans="1:5" ht="15" customHeight="1">
      <c r="A183" s="719">
        <v>7130800014</v>
      </c>
      <c r="B183" s="718" t="s">
        <v>203</v>
      </c>
      <c r="C183" s="702" t="s">
        <v>1130</v>
      </c>
      <c r="D183" s="722">
        <v>6408</v>
      </c>
      <c r="E183" s="693"/>
    </row>
    <row r="184" spans="1:5" ht="15" customHeight="1">
      <c r="A184" s="715">
        <v>7130800033</v>
      </c>
      <c r="B184" s="713" t="s">
        <v>1864</v>
      </c>
      <c r="C184" s="710" t="s">
        <v>1130</v>
      </c>
      <c r="D184" s="714">
        <v>3129</v>
      </c>
      <c r="E184" s="693" t="s">
        <v>1220</v>
      </c>
    </row>
    <row r="185" spans="1:5" ht="15.75" customHeight="1">
      <c r="A185" s="702">
        <v>7130800068</v>
      </c>
      <c r="B185" s="718" t="s">
        <v>202</v>
      </c>
      <c r="C185" s="702" t="s">
        <v>1130</v>
      </c>
      <c r="D185" s="722">
        <v>10737</v>
      </c>
      <c r="E185" s="693" t="s">
        <v>1221</v>
      </c>
    </row>
    <row r="186" spans="1:5" ht="17.25" customHeight="1">
      <c r="A186" s="715">
        <v>7130800672</v>
      </c>
      <c r="B186" s="713" t="s">
        <v>1865</v>
      </c>
      <c r="C186" s="710" t="s">
        <v>1130</v>
      </c>
      <c r="D186" s="714">
        <v>2851</v>
      </c>
      <c r="E186" s="693" t="s">
        <v>1222</v>
      </c>
    </row>
    <row r="187" spans="1:5" ht="18" customHeight="1">
      <c r="A187" s="715">
        <v>7130810005</v>
      </c>
      <c r="B187" s="713" t="s">
        <v>251</v>
      </c>
      <c r="C187" s="710" t="s">
        <v>1061</v>
      </c>
      <c r="D187" s="714">
        <v>83</v>
      </c>
      <c r="E187" s="693" t="s">
        <v>1223</v>
      </c>
    </row>
    <row r="188" spans="1:5" ht="15.75" customHeight="1">
      <c r="A188" s="715">
        <v>7130810006</v>
      </c>
      <c r="B188" s="713" t="s">
        <v>1224</v>
      </c>
      <c r="C188" s="710" t="s">
        <v>1022</v>
      </c>
      <c r="D188" s="714">
        <v>6808</v>
      </c>
      <c r="E188" s="693" t="s">
        <v>1224</v>
      </c>
    </row>
    <row r="189" spans="1:5" ht="16.5" customHeight="1">
      <c r="A189" s="715">
        <v>7130810026</v>
      </c>
      <c r="B189" s="713" t="s">
        <v>252</v>
      </c>
      <c r="C189" s="710" t="s">
        <v>1016</v>
      </c>
      <c r="D189" s="714">
        <v>142</v>
      </c>
      <c r="E189" s="693" t="s">
        <v>1225</v>
      </c>
    </row>
    <row r="190" spans="1:5" ht="15.75" customHeight="1">
      <c r="A190" s="715">
        <v>7130810026</v>
      </c>
      <c r="B190" s="713" t="s">
        <v>253</v>
      </c>
      <c r="C190" s="710" t="s">
        <v>1016</v>
      </c>
      <c r="D190" s="714">
        <v>265</v>
      </c>
      <c r="E190" s="693" t="s">
        <v>1225</v>
      </c>
    </row>
    <row r="191" spans="1:5" ht="15" customHeight="1">
      <c r="A191" s="715">
        <v>7130810060</v>
      </c>
      <c r="B191" s="713" t="s">
        <v>1226</v>
      </c>
      <c r="C191" s="710" t="s">
        <v>1023</v>
      </c>
      <c r="D191" s="714">
        <v>71</v>
      </c>
      <c r="E191" s="693" t="s">
        <v>1226</v>
      </c>
    </row>
    <row r="192" spans="1:5" ht="14.25" customHeight="1">
      <c r="A192" s="719">
        <v>7130810076</v>
      </c>
      <c r="B192" s="713" t="s">
        <v>1985</v>
      </c>
      <c r="C192" s="710" t="s">
        <v>1023</v>
      </c>
      <c r="D192" s="714">
        <v>68</v>
      </c>
      <c r="E192" s="693" t="s">
        <v>254</v>
      </c>
    </row>
    <row r="193" spans="1:5" ht="15.75" customHeight="1">
      <c r="A193" s="719">
        <v>7130810077</v>
      </c>
      <c r="B193" s="730" t="s">
        <v>259</v>
      </c>
      <c r="C193" s="731" t="s">
        <v>1023</v>
      </c>
      <c r="D193" s="714">
        <v>394</v>
      </c>
      <c r="E193" s="693" t="s">
        <v>1227</v>
      </c>
    </row>
    <row r="194" spans="1:5" ht="16.5" customHeight="1">
      <c r="A194" s="702">
        <v>7130810102</v>
      </c>
      <c r="B194" s="718" t="s">
        <v>1336</v>
      </c>
      <c r="C194" s="731" t="s">
        <v>1023</v>
      </c>
      <c r="D194" s="714">
        <v>349</v>
      </c>
      <c r="E194" s="693" t="s">
        <v>1228</v>
      </c>
    </row>
    <row r="195" spans="1:5" ht="14.25" customHeight="1">
      <c r="A195" s="702">
        <v>7130810193</v>
      </c>
      <c r="B195" s="718" t="s">
        <v>113</v>
      </c>
      <c r="C195" s="731" t="s">
        <v>1016</v>
      </c>
      <c r="D195" s="714">
        <v>265</v>
      </c>
      <c r="E195" s="693" t="s">
        <v>1229</v>
      </c>
    </row>
    <row r="196" spans="1:5" ht="15" customHeight="1">
      <c r="A196" s="702">
        <v>7130810201</v>
      </c>
      <c r="B196" s="718" t="s">
        <v>114</v>
      </c>
      <c r="C196" s="731" t="s">
        <v>1016</v>
      </c>
      <c r="D196" s="714">
        <v>282</v>
      </c>
      <c r="E196" s="693" t="s">
        <v>1230</v>
      </c>
    </row>
    <row r="197" spans="1:5" ht="18" customHeight="1">
      <c r="A197" s="702">
        <v>7130810216</v>
      </c>
      <c r="B197" s="718" t="s">
        <v>115</v>
      </c>
      <c r="C197" s="731" t="s">
        <v>1016</v>
      </c>
      <c r="D197" s="714">
        <v>282</v>
      </c>
      <c r="E197" s="693" t="s">
        <v>1231</v>
      </c>
    </row>
    <row r="198" spans="1:5" ht="17.25" customHeight="1">
      <c r="A198" s="702">
        <v>7130810251</v>
      </c>
      <c r="B198" s="718" t="s">
        <v>116</v>
      </c>
      <c r="C198" s="731" t="s">
        <v>1016</v>
      </c>
      <c r="D198" s="714">
        <v>282</v>
      </c>
      <c r="E198" s="693" t="s">
        <v>1232</v>
      </c>
    </row>
    <row r="199" spans="1:5" ht="17.25" customHeight="1">
      <c r="A199" s="702">
        <v>7130810361</v>
      </c>
      <c r="B199" s="718" t="s">
        <v>117</v>
      </c>
      <c r="C199" s="731" t="s">
        <v>1016</v>
      </c>
      <c r="D199" s="714">
        <v>282</v>
      </c>
      <c r="E199" s="693" t="s">
        <v>1233</v>
      </c>
    </row>
    <row r="200" spans="1:5" ht="17.25" customHeight="1">
      <c r="A200" s="702">
        <v>7130810413</v>
      </c>
      <c r="B200" s="718" t="s">
        <v>118</v>
      </c>
      <c r="C200" s="731" t="s">
        <v>1023</v>
      </c>
      <c r="D200" s="714">
        <v>618</v>
      </c>
      <c r="E200" s="693" t="s">
        <v>1234</v>
      </c>
    </row>
    <row r="201" spans="1:5" ht="17.25" customHeight="1">
      <c r="A201" s="702">
        <v>7130810441</v>
      </c>
      <c r="B201" s="718" t="s">
        <v>119</v>
      </c>
      <c r="C201" s="731" t="s">
        <v>1023</v>
      </c>
      <c r="D201" s="714">
        <v>736</v>
      </c>
      <c r="E201" s="693" t="s">
        <v>1235</v>
      </c>
    </row>
    <row r="202" spans="1:5" ht="17.25" customHeight="1">
      <c r="A202" s="702">
        <v>7130810461</v>
      </c>
      <c r="B202" s="718" t="s">
        <v>120</v>
      </c>
      <c r="C202" s="731" t="s">
        <v>1023</v>
      </c>
      <c r="D202" s="714">
        <v>854</v>
      </c>
      <c r="E202" s="693" t="s">
        <v>1236</v>
      </c>
    </row>
    <row r="203" spans="1:5" ht="17.25" customHeight="1">
      <c r="A203" s="702">
        <v>7130810495</v>
      </c>
      <c r="B203" s="718" t="s">
        <v>121</v>
      </c>
      <c r="C203" s="731" t="s">
        <v>1023</v>
      </c>
      <c r="D203" s="714">
        <v>1048</v>
      </c>
      <c r="E203" s="693" t="s">
        <v>1237</v>
      </c>
    </row>
    <row r="204" spans="1:5" ht="17.25" customHeight="1">
      <c r="A204" s="702">
        <v>7130810509</v>
      </c>
      <c r="B204" s="718" t="s">
        <v>1466</v>
      </c>
      <c r="C204" s="731" t="s">
        <v>1023</v>
      </c>
      <c r="D204" s="714">
        <v>7845</v>
      </c>
      <c r="E204" s="693" t="s">
        <v>1238</v>
      </c>
    </row>
    <row r="205" spans="1:5" ht="17.25" customHeight="1">
      <c r="A205" s="702">
        <v>7130810509</v>
      </c>
      <c r="B205" s="718" t="s">
        <v>1468</v>
      </c>
      <c r="C205" s="731" t="s">
        <v>1023</v>
      </c>
      <c r="D205" s="714">
        <v>3322</v>
      </c>
      <c r="E205" s="693" t="s">
        <v>1238</v>
      </c>
    </row>
    <row r="206" spans="1:5" ht="17.25" customHeight="1">
      <c r="A206" s="702">
        <v>7130810511</v>
      </c>
      <c r="B206" s="718" t="s">
        <v>1467</v>
      </c>
      <c r="C206" s="731" t="s">
        <v>1022</v>
      </c>
      <c r="D206" s="714">
        <v>2485</v>
      </c>
      <c r="E206" s="693" t="s">
        <v>1239</v>
      </c>
    </row>
    <row r="207" spans="1:5" ht="26.25" customHeight="1">
      <c r="A207" s="702">
        <v>7130810512</v>
      </c>
      <c r="B207" s="718" t="s">
        <v>1469</v>
      </c>
      <c r="C207" s="731" t="s">
        <v>1022</v>
      </c>
      <c r="D207" s="714">
        <v>3940</v>
      </c>
      <c r="E207" s="693" t="s">
        <v>1240</v>
      </c>
    </row>
    <row r="208" spans="1:5" ht="25.5">
      <c r="A208" s="702">
        <v>7130810512</v>
      </c>
      <c r="B208" s="718" t="s">
        <v>1470</v>
      </c>
      <c r="C208" s="731" t="s">
        <v>1022</v>
      </c>
      <c r="D208" s="714">
        <v>2862</v>
      </c>
      <c r="E208" s="693" t="s">
        <v>1240</v>
      </c>
    </row>
    <row r="209" spans="1:5" ht="25.5">
      <c r="A209" s="702">
        <v>7130810512</v>
      </c>
      <c r="B209" s="718" t="s">
        <v>1471</v>
      </c>
      <c r="C209" s="731" t="s">
        <v>1022</v>
      </c>
      <c r="D209" s="714">
        <v>4022</v>
      </c>
      <c r="E209" s="693" t="s">
        <v>1240</v>
      </c>
    </row>
    <row r="210" spans="1:5" ht="25.5">
      <c r="A210" s="702">
        <v>7130810517</v>
      </c>
      <c r="B210" s="718" t="s">
        <v>1472</v>
      </c>
      <c r="C210" s="731" t="s">
        <v>1022</v>
      </c>
      <c r="D210" s="714">
        <v>4547</v>
      </c>
      <c r="E210" s="693" t="s">
        <v>1435</v>
      </c>
    </row>
    <row r="211" spans="1:5" ht="17.25" customHeight="1">
      <c r="A211" s="702">
        <v>7130810595</v>
      </c>
      <c r="B211" s="718" t="s">
        <v>1473</v>
      </c>
      <c r="C211" s="731" t="s">
        <v>1023</v>
      </c>
      <c r="D211" s="714">
        <v>2332</v>
      </c>
      <c r="E211" s="693" t="s">
        <v>1436</v>
      </c>
    </row>
    <row r="212" spans="1:5" ht="26.25" customHeight="1">
      <c r="A212" s="702">
        <v>7130810608</v>
      </c>
      <c r="B212" s="718" t="s">
        <v>1474</v>
      </c>
      <c r="C212" s="731" t="s">
        <v>1022</v>
      </c>
      <c r="D212" s="714">
        <v>5377</v>
      </c>
      <c r="E212" s="693" t="s">
        <v>1437</v>
      </c>
    </row>
    <row r="213" spans="1:5" ht="17.25" customHeight="1">
      <c r="A213" s="702">
        <v>7130810624</v>
      </c>
      <c r="B213" s="718" t="s">
        <v>1297</v>
      </c>
      <c r="C213" s="731" t="s">
        <v>1023</v>
      </c>
      <c r="D213" s="714">
        <v>90</v>
      </c>
      <c r="E213" s="693" t="s">
        <v>1438</v>
      </c>
    </row>
    <row r="214" spans="1:5" ht="12.75">
      <c r="A214" s="702">
        <v>7130810624</v>
      </c>
      <c r="B214" s="718" t="s">
        <v>1045</v>
      </c>
      <c r="C214" s="731" t="s">
        <v>1022</v>
      </c>
      <c r="D214" s="889">
        <v>94</v>
      </c>
      <c r="E214" s="693" t="s">
        <v>1438</v>
      </c>
    </row>
    <row r="215" spans="1:5" ht="12.75" customHeight="1">
      <c r="A215" s="702">
        <v>7130810676</v>
      </c>
      <c r="B215" s="718" t="s">
        <v>1475</v>
      </c>
      <c r="C215" s="731" t="s">
        <v>1023</v>
      </c>
      <c r="D215" s="889">
        <v>388</v>
      </c>
      <c r="E215" s="693" t="s">
        <v>1439</v>
      </c>
    </row>
    <row r="216" spans="1:5" ht="25.5">
      <c r="A216" s="702">
        <v>7130810679</v>
      </c>
      <c r="B216" s="718" t="s">
        <v>1476</v>
      </c>
      <c r="C216" s="731" t="s">
        <v>1023</v>
      </c>
      <c r="D216" s="889">
        <v>294</v>
      </c>
      <c r="E216" s="693" t="s">
        <v>1440</v>
      </c>
    </row>
    <row r="217" spans="1:5" ht="25.5">
      <c r="A217" s="702">
        <v>7130810681</v>
      </c>
      <c r="B217" s="718" t="s">
        <v>363</v>
      </c>
      <c r="C217" s="731" t="s">
        <v>1022</v>
      </c>
      <c r="D217" s="889">
        <v>3227</v>
      </c>
      <c r="E217" s="693" t="s">
        <v>1441</v>
      </c>
    </row>
    <row r="218" spans="1:5" ht="12.75">
      <c r="A218" s="702">
        <v>7130810684</v>
      </c>
      <c r="B218" s="718" t="s">
        <v>1625</v>
      </c>
      <c r="C218" s="731" t="s">
        <v>1023</v>
      </c>
      <c r="D218" s="889">
        <v>8457</v>
      </c>
      <c r="E218" s="693" t="s">
        <v>1442</v>
      </c>
    </row>
    <row r="219" spans="1:5" ht="12.75">
      <c r="A219" s="702">
        <v>7130810692</v>
      </c>
      <c r="B219" s="718" t="s">
        <v>1477</v>
      </c>
      <c r="C219" s="731" t="s">
        <v>1016</v>
      </c>
      <c r="D219" s="889">
        <v>294</v>
      </c>
      <c r="E219" s="693" t="s">
        <v>1443</v>
      </c>
    </row>
    <row r="220" spans="1:5" ht="12.75">
      <c r="A220" s="719">
        <v>7130820008</v>
      </c>
      <c r="B220" s="718" t="s">
        <v>601</v>
      </c>
      <c r="C220" s="714" t="s">
        <v>1130</v>
      </c>
      <c r="D220" s="714">
        <v>157</v>
      </c>
      <c r="E220" s="693" t="s">
        <v>1444</v>
      </c>
    </row>
    <row r="221" spans="1:5" ht="12.75">
      <c r="A221" s="719">
        <v>7130820009</v>
      </c>
      <c r="B221" s="718" t="s">
        <v>600</v>
      </c>
      <c r="C221" s="714" t="s">
        <v>1130</v>
      </c>
      <c r="D221" s="714">
        <v>388</v>
      </c>
      <c r="E221" s="693" t="s">
        <v>1445</v>
      </c>
    </row>
    <row r="222" spans="1:5" ht="12.75">
      <c r="A222" s="719">
        <v>7130820010</v>
      </c>
      <c r="B222" s="718" t="s">
        <v>1930</v>
      </c>
      <c r="C222" s="714" t="s">
        <v>1130</v>
      </c>
      <c r="D222" s="714">
        <v>140</v>
      </c>
      <c r="E222" s="693" t="s">
        <v>1446</v>
      </c>
    </row>
    <row r="223" spans="1:5" ht="12.75">
      <c r="A223" s="719">
        <v>7130820011</v>
      </c>
      <c r="B223" s="718" t="s">
        <v>599</v>
      </c>
      <c r="C223" s="714" t="s">
        <v>1130</v>
      </c>
      <c r="D223" s="714">
        <v>354</v>
      </c>
      <c r="E223" s="693" t="s">
        <v>1447</v>
      </c>
    </row>
    <row r="224" spans="1:5" ht="16.5" customHeight="1">
      <c r="A224" s="715">
        <v>7130820018</v>
      </c>
      <c r="B224" s="713" t="s">
        <v>927</v>
      </c>
      <c r="C224" s="710" t="s">
        <v>1016</v>
      </c>
      <c r="D224" s="714">
        <v>3</v>
      </c>
      <c r="E224" s="693" t="s">
        <v>1448</v>
      </c>
    </row>
    <row r="225" spans="1:5" ht="16.5" customHeight="1">
      <c r="A225" s="717">
        <v>7130820026</v>
      </c>
      <c r="B225" s="713" t="s">
        <v>922</v>
      </c>
      <c r="C225" s="710" t="s">
        <v>1680</v>
      </c>
      <c r="D225" s="714">
        <v>412</v>
      </c>
      <c r="E225" s="693" t="s">
        <v>1449</v>
      </c>
    </row>
    <row r="226" spans="1:5" ht="16.5" customHeight="1">
      <c r="A226" s="717">
        <v>7130820027</v>
      </c>
      <c r="B226" s="713" t="s">
        <v>923</v>
      </c>
      <c r="C226" s="710" t="s">
        <v>1680</v>
      </c>
      <c r="D226" s="714">
        <v>1907</v>
      </c>
      <c r="E226" s="693" t="s">
        <v>1450</v>
      </c>
    </row>
    <row r="227" spans="1:5" ht="16.5" customHeight="1">
      <c r="A227" s="728">
        <v>7130820029</v>
      </c>
      <c r="B227" s="721" t="s">
        <v>87</v>
      </c>
      <c r="C227" s="702" t="s">
        <v>1130</v>
      </c>
      <c r="D227" s="727">
        <v>31</v>
      </c>
      <c r="E227" s="693"/>
    </row>
    <row r="228" spans="1:5" ht="16.5" customHeight="1">
      <c r="A228" s="715">
        <v>7130820030</v>
      </c>
      <c r="B228" s="713" t="s">
        <v>919</v>
      </c>
      <c r="C228" s="710" t="s">
        <v>1130</v>
      </c>
      <c r="D228" s="714">
        <v>231</v>
      </c>
      <c r="E228" s="693" t="s">
        <v>1451</v>
      </c>
    </row>
    <row r="229" spans="1:5" ht="17.25" customHeight="1">
      <c r="A229" s="715">
        <v>7130820071</v>
      </c>
      <c r="B229" s="713" t="s">
        <v>920</v>
      </c>
      <c r="C229" s="710" t="s">
        <v>1130</v>
      </c>
      <c r="D229" s="714">
        <v>40</v>
      </c>
      <c r="E229" s="693" t="s">
        <v>313</v>
      </c>
    </row>
    <row r="230" spans="1:5" ht="17.25" customHeight="1">
      <c r="A230" s="715">
        <v>7130820075</v>
      </c>
      <c r="B230" s="713" t="s">
        <v>921</v>
      </c>
      <c r="C230" s="710" t="s">
        <v>1130</v>
      </c>
      <c r="D230" s="714">
        <v>230</v>
      </c>
      <c r="E230" s="693" t="s">
        <v>314</v>
      </c>
    </row>
    <row r="231" spans="1:5" ht="18" customHeight="1">
      <c r="A231" s="715">
        <v>7130820101</v>
      </c>
      <c r="B231" s="713" t="s">
        <v>925</v>
      </c>
      <c r="C231" s="710" t="s">
        <v>1130</v>
      </c>
      <c r="D231" s="714">
        <v>9</v>
      </c>
      <c r="E231" s="693" t="s">
        <v>315</v>
      </c>
    </row>
    <row r="232" spans="1:5" ht="18" customHeight="1">
      <c r="A232" s="715">
        <v>7130820106</v>
      </c>
      <c r="B232" s="713" t="s">
        <v>924</v>
      </c>
      <c r="C232" s="710" t="s">
        <v>1130</v>
      </c>
      <c r="D232" s="714">
        <v>10</v>
      </c>
      <c r="E232" s="693" t="s">
        <v>1339</v>
      </c>
    </row>
    <row r="233" spans="1:5" ht="18" customHeight="1">
      <c r="A233" s="715">
        <v>7130820117</v>
      </c>
      <c r="B233" s="713" t="s">
        <v>926</v>
      </c>
      <c r="C233" s="710" t="s">
        <v>1130</v>
      </c>
      <c r="D233" s="714">
        <v>9</v>
      </c>
      <c r="E233" s="693" t="s">
        <v>1340</v>
      </c>
    </row>
    <row r="234" spans="1:5" ht="18" customHeight="1">
      <c r="A234" s="715">
        <v>7130820155</v>
      </c>
      <c r="B234" s="713" t="s">
        <v>2054</v>
      </c>
      <c r="C234" s="710" t="s">
        <v>1130</v>
      </c>
      <c r="D234" s="714">
        <v>60</v>
      </c>
      <c r="E234" s="693" t="s">
        <v>1341</v>
      </c>
    </row>
    <row r="235" spans="1:5" ht="18" customHeight="1">
      <c r="A235" s="715">
        <v>7130820158</v>
      </c>
      <c r="B235" s="713" t="s">
        <v>2055</v>
      </c>
      <c r="C235" s="710" t="s">
        <v>1130</v>
      </c>
      <c r="D235" s="714">
        <v>199</v>
      </c>
      <c r="E235" s="693" t="s">
        <v>1342</v>
      </c>
    </row>
    <row r="236" spans="1:5" ht="18" customHeight="1">
      <c r="A236" s="715">
        <v>7130820201</v>
      </c>
      <c r="B236" s="713" t="s">
        <v>2134</v>
      </c>
      <c r="C236" s="710" t="s">
        <v>1130</v>
      </c>
      <c r="D236" s="714">
        <v>32</v>
      </c>
      <c r="E236" s="693" t="s">
        <v>1343</v>
      </c>
    </row>
    <row r="237" spans="1:5" ht="18" customHeight="1">
      <c r="A237" s="715">
        <v>7130820206</v>
      </c>
      <c r="B237" s="705" t="s">
        <v>2053</v>
      </c>
      <c r="C237" s="710" t="s">
        <v>1130</v>
      </c>
      <c r="D237" s="714">
        <v>30</v>
      </c>
      <c r="E237" s="693" t="s">
        <v>1344</v>
      </c>
    </row>
    <row r="238" spans="1:5" ht="18" customHeight="1">
      <c r="A238" s="715">
        <v>7130820216</v>
      </c>
      <c r="B238" s="705" t="s">
        <v>2052</v>
      </c>
      <c r="C238" s="710" t="s">
        <v>1130</v>
      </c>
      <c r="D238" s="714">
        <v>34</v>
      </c>
      <c r="E238" s="693" t="s">
        <v>0</v>
      </c>
    </row>
    <row r="239" spans="1:5" ht="18" customHeight="1">
      <c r="A239" s="715">
        <v>7130820241</v>
      </c>
      <c r="B239" s="713" t="s">
        <v>602</v>
      </c>
      <c r="C239" s="710" t="s">
        <v>1130</v>
      </c>
      <c r="D239" s="714">
        <v>123</v>
      </c>
      <c r="E239" s="693" t="s">
        <v>1</v>
      </c>
    </row>
    <row r="240" spans="1:5" ht="18" customHeight="1">
      <c r="A240" s="715">
        <v>7130820248</v>
      </c>
      <c r="B240" s="713" t="s">
        <v>603</v>
      </c>
      <c r="C240" s="710" t="s">
        <v>1130</v>
      </c>
      <c r="D240" s="714">
        <v>255</v>
      </c>
      <c r="E240" s="693" t="s">
        <v>2</v>
      </c>
    </row>
    <row r="241" spans="1:5" ht="28.5" customHeight="1">
      <c r="A241" s="720">
        <v>7130820312</v>
      </c>
      <c r="B241" s="713" t="s">
        <v>438</v>
      </c>
      <c r="C241" s="710" t="s">
        <v>1022</v>
      </c>
      <c r="D241" s="714">
        <v>2183</v>
      </c>
      <c r="E241" s="693" t="s">
        <v>3</v>
      </c>
    </row>
    <row r="242" spans="1:5" ht="19.5" customHeight="1">
      <c r="A242" s="715">
        <v>7130830006</v>
      </c>
      <c r="B242" s="713" t="s">
        <v>2133</v>
      </c>
      <c r="C242" s="710" t="s">
        <v>1070</v>
      </c>
      <c r="D242" s="714">
        <v>139</v>
      </c>
      <c r="E242" s="693" t="s">
        <v>4</v>
      </c>
    </row>
    <row r="243" spans="1:5" ht="29.25" customHeight="1">
      <c r="A243" s="715">
        <v>7130830025</v>
      </c>
      <c r="B243" s="713" t="s">
        <v>916</v>
      </c>
      <c r="C243" s="710" t="s">
        <v>1043</v>
      </c>
      <c r="D243" s="714">
        <v>11084</v>
      </c>
      <c r="E243" s="693" t="s">
        <v>5</v>
      </c>
    </row>
    <row r="244" spans="1:5" ht="28.5" customHeight="1">
      <c r="A244" s="715">
        <v>7130830026</v>
      </c>
      <c r="B244" s="713" t="s">
        <v>917</v>
      </c>
      <c r="C244" s="710" t="s">
        <v>1043</v>
      </c>
      <c r="D244" s="714">
        <v>17295</v>
      </c>
      <c r="E244" s="693" t="s">
        <v>6</v>
      </c>
    </row>
    <row r="245" spans="1:5" ht="30" customHeight="1">
      <c r="A245" s="715">
        <v>7130830027</v>
      </c>
      <c r="B245" s="713" t="s">
        <v>918</v>
      </c>
      <c r="C245" s="710" t="s">
        <v>1043</v>
      </c>
      <c r="D245" s="714">
        <v>27240</v>
      </c>
      <c r="E245" s="693" t="s">
        <v>7</v>
      </c>
    </row>
    <row r="246" spans="1:5" ht="25.5">
      <c r="A246" s="715">
        <v>7130830028</v>
      </c>
      <c r="B246" s="713" t="s">
        <v>913</v>
      </c>
      <c r="C246" s="710" t="s">
        <v>1043</v>
      </c>
      <c r="D246" s="714">
        <v>33968</v>
      </c>
      <c r="E246" s="693" t="s">
        <v>8</v>
      </c>
    </row>
    <row r="247" spans="1:5" ht="27.75" customHeight="1">
      <c r="A247" s="717">
        <v>7130830050</v>
      </c>
      <c r="B247" s="713" t="s">
        <v>1452</v>
      </c>
      <c r="C247" s="710" t="s">
        <v>1130</v>
      </c>
      <c r="D247" s="714">
        <v>32</v>
      </c>
      <c r="E247" s="693" t="s">
        <v>9</v>
      </c>
    </row>
    <row r="248" spans="1:5" ht="19.5" customHeight="1">
      <c r="A248" s="717">
        <v>7130830051</v>
      </c>
      <c r="B248" s="713" t="s">
        <v>1453</v>
      </c>
      <c r="C248" s="710" t="s">
        <v>1130</v>
      </c>
      <c r="D248" s="714">
        <v>126</v>
      </c>
      <c r="E248" s="693" t="s">
        <v>10</v>
      </c>
    </row>
    <row r="249" spans="1:5" ht="22.5" customHeight="1">
      <c r="A249" s="723">
        <v>7130830052</v>
      </c>
      <c r="B249" s="713" t="s">
        <v>1454</v>
      </c>
      <c r="C249" s="710" t="s">
        <v>1130</v>
      </c>
      <c r="D249" s="722">
        <v>534</v>
      </c>
      <c r="E249" s="693"/>
    </row>
    <row r="250" spans="1:5" ht="25.5">
      <c r="A250" s="710">
        <v>7130830053</v>
      </c>
      <c r="B250" s="713" t="s">
        <v>910</v>
      </c>
      <c r="C250" s="710" t="s">
        <v>1043</v>
      </c>
      <c r="D250" s="714">
        <v>13002</v>
      </c>
      <c r="E250" s="693" t="s">
        <v>11</v>
      </c>
    </row>
    <row r="251" spans="1:5" ht="12.75">
      <c r="A251" s="723">
        <v>7130830054</v>
      </c>
      <c r="B251" s="713" t="s">
        <v>1455</v>
      </c>
      <c r="C251" s="710" t="s">
        <v>1130</v>
      </c>
      <c r="D251" s="722">
        <v>312</v>
      </c>
      <c r="E251" s="693"/>
    </row>
    <row r="252" spans="1:5" ht="25.5">
      <c r="A252" s="710">
        <v>7130830055</v>
      </c>
      <c r="B252" s="713" t="s">
        <v>911</v>
      </c>
      <c r="C252" s="710" t="s">
        <v>1043</v>
      </c>
      <c r="D252" s="714">
        <v>20281</v>
      </c>
      <c r="E252" s="693" t="s">
        <v>12</v>
      </c>
    </row>
    <row r="253" spans="1:5" ht="12.75">
      <c r="A253" s="723">
        <v>7130830056</v>
      </c>
      <c r="B253" s="713" t="s">
        <v>1456</v>
      </c>
      <c r="C253" s="710" t="s">
        <v>1130</v>
      </c>
      <c r="D253" s="722">
        <v>312</v>
      </c>
      <c r="E253" s="693"/>
    </row>
    <row r="254" spans="1:5" ht="25.5">
      <c r="A254" s="715">
        <v>7130830057</v>
      </c>
      <c r="B254" s="713" t="s">
        <v>912</v>
      </c>
      <c r="C254" s="710" t="s">
        <v>1043</v>
      </c>
      <c r="D254" s="714">
        <v>33544</v>
      </c>
      <c r="E254" s="693" t="s">
        <v>13</v>
      </c>
    </row>
    <row r="255" spans="1:5" ht="28.5" customHeight="1">
      <c r="A255" s="723">
        <v>7130830058</v>
      </c>
      <c r="B255" s="713" t="s">
        <v>419</v>
      </c>
      <c r="C255" s="710" t="s">
        <v>1130</v>
      </c>
      <c r="D255" s="722">
        <v>158</v>
      </c>
      <c r="E255" s="289"/>
    </row>
    <row r="256" spans="1:5" ht="25.5">
      <c r="A256" s="715">
        <v>7130830060</v>
      </c>
      <c r="B256" s="713" t="s">
        <v>913</v>
      </c>
      <c r="C256" s="710" t="s">
        <v>1043</v>
      </c>
      <c r="D256" s="714">
        <v>50002</v>
      </c>
      <c r="E256" s="693" t="s">
        <v>14</v>
      </c>
    </row>
    <row r="257" spans="1:5" ht="25.5">
      <c r="A257" s="715">
        <v>7130830063</v>
      </c>
      <c r="B257" s="713" t="s">
        <v>914</v>
      </c>
      <c r="C257" s="710" t="s">
        <v>1043</v>
      </c>
      <c r="D257" s="714">
        <v>64842</v>
      </c>
      <c r="E257" s="693" t="s">
        <v>15</v>
      </c>
    </row>
    <row r="258" spans="1:5" ht="25.5">
      <c r="A258" s="710">
        <v>7130830070</v>
      </c>
      <c r="B258" s="713" t="s">
        <v>915</v>
      </c>
      <c r="C258" s="710" t="s">
        <v>1043</v>
      </c>
      <c r="D258" s="714">
        <v>167935</v>
      </c>
      <c r="E258" s="693" t="s">
        <v>16</v>
      </c>
    </row>
    <row r="259" spans="1:5" ht="25.5">
      <c r="A259" s="715">
        <v>7130830084</v>
      </c>
      <c r="B259" s="713" t="s">
        <v>914</v>
      </c>
      <c r="C259" s="710" t="s">
        <v>1043</v>
      </c>
      <c r="D259" s="714">
        <v>50246</v>
      </c>
      <c r="E259" s="693" t="s">
        <v>17</v>
      </c>
    </row>
    <row r="260" spans="1:5" ht="12.75">
      <c r="A260" s="715">
        <v>7130830585</v>
      </c>
      <c r="B260" s="713" t="s">
        <v>421</v>
      </c>
      <c r="C260" s="710" t="s">
        <v>1130</v>
      </c>
      <c r="D260" s="714">
        <v>239</v>
      </c>
      <c r="E260" s="693" t="s">
        <v>18</v>
      </c>
    </row>
    <row r="261" spans="1:5" ht="15" customHeight="1">
      <c r="A261" s="715">
        <v>7130830586</v>
      </c>
      <c r="B261" s="713" t="s">
        <v>422</v>
      </c>
      <c r="C261" s="710" t="s">
        <v>1130</v>
      </c>
      <c r="D261" s="714">
        <v>191</v>
      </c>
      <c r="E261" s="693" t="s">
        <v>19</v>
      </c>
    </row>
    <row r="262" spans="1:5" ht="15" customHeight="1">
      <c r="A262" s="717">
        <v>7130830586</v>
      </c>
      <c r="B262" s="713" t="s">
        <v>423</v>
      </c>
      <c r="C262" s="710" t="s">
        <v>1130</v>
      </c>
      <c r="D262" s="714">
        <v>279</v>
      </c>
      <c r="E262" s="693" t="s">
        <v>19</v>
      </c>
    </row>
    <row r="263" spans="1:5" ht="27" customHeight="1">
      <c r="A263" s="715">
        <v>7130830603</v>
      </c>
      <c r="B263" s="713" t="s">
        <v>420</v>
      </c>
      <c r="C263" s="710" t="s">
        <v>1130</v>
      </c>
      <c r="D263" s="722">
        <v>232</v>
      </c>
      <c r="E263" s="693" t="s">
        <v>20</v>
      </c>
    </row>
    <row r="264" spans="1:5" ht="27.75" customHeight="1">
      <c r="A264" s="715">
        <v>7130830854</v>
      </c>
      <c r="B264" s="713" t="s">
        <v>424</v>
      </c>
      <c r="C264" s="710" t="s">
        <v>1130</v>
      </c>
      <c r="D264" s="714">
        <v>26</v>
      </c>
      <c r="E264" s="693" t="s">
        <v>21</v>
      </c>
    </row>
    <row r="265" spans="1:5" ht="25.5">
      <c r="A265" s="710">
        <v>7130830971</v>
      </c>
      <c r="B265" s="705" t="s">
        <v>425</v>
      </c>
      <c r="C265" s="710" t="s">
        <v>1130</v>
      </c>
      <c r="D265" s="714">
        <v>195</v>
      </c>
      <c r="E265" s="693" t="s">
        <v>22</v>
      </c>
    </row>
    <row r="266" spans="1:6" ht="17.25" customHeight="1">
      <c r="A266" s="715">
        <v>7130840021</v>
      </c>
      <c r="B266" s="713" t="s">
        <v>960</v>
      </c>
      <c r="C266" s="710" t="s">
        <v>1130</v>
      </c>
      <c r="D266" s="714">
        <v>3483</v>
      </c>
      <c r="E266" s="693" t="s">
        <v>23</v>
      </c>
      <c r="F266" s="903"/>
    </row>
    <row r="267" spans="1:6" ht="20.25" customHeight="1">
      <c r="A267" s="715">
        <v>7130840029</v>
      </c>
      <c r="B267" s="713" t="s">
        <v>961</v>
      </c>
      <c r="C267" s="710" t="s">
        <v>1130</v>
      </c>
      <c r="D267" s="714">
        <v>425</v>
      </c>
      <c r="E267" s="693" t="s">
        <v>24</v>
      </c>
      <c r="F267" s="903"/>
    </row>
    <row r="268" spans="1:5" ht="29.25" customHeight="1">
      <c r="A268" s="715">
        <v>7130850201</v>
      </c>
      <c r="B268" s="890" t="s">
        <v>46</v>
      </c>
      <c r="C268" s="715" t="s">
        <v>1022</v>
      </c>
      <c r="D268" s="714">
        <v>4547</v>
      </c>
      <c r="E268" s="693" t="s">
        <v>25</v>
      </c>
    </row>
    <row r="269" spans="1:5" ht="27" customHeight="1">
      <c r="A269" s="715">
        <v>7130850201</v>
      </c>
      <c r="B269" s="890" t="s">
        <v>47</v>
      </c>
      <c r="C269" s="715" t="s">
        <v>1023</v>
      </c>
      <c r="D269" s="714">
        <v>4393</v>
      </c>
      <c r="E269" s="693" t="s">
        <v>25</v>
      </c>
    </row>
    <row r="270" spans="1:5" ht="14.25">
      <c r="A270" s="715">
        <v>7130860017</v>
      </c>
      <c r="B270" s="890" t="s">
        <v>48</v>
      </c>
      <c r="C270" s="715" t="s">
        <v>1023</v>
      </c>
      <c r="D270" s="339">
        <v>100</v>
      </c>
      <c r="E270" s="693" t="s">
        <v>26</v>
      </c>
    </row>
    <row r="271" spans="1:5" ht="15" customHeight="1">
      <c r="A271" s="715">
        <v>7130860032</v>
      </c>
      <c r="B271" s="713" t="s">
        <v>49</v>
      </c>
      <c r="C271" s="710" t="s">
        <v>1130</v>
      </c>
      <c r="D271" s="714">
        <v>387</v>
      </c>
      <c r="E271" s="693" t="s">
        <v>27</v>
      </c>
    </row>
    <row r="272" spans="1:5" ht="12.75">
      <c r="A272" s="715">
        <v>7130860033</v>
      </c>
      <c r="B272" s="713" t="s">
        <v>50</v>
      </c>
      <c r="C272" s="710" t="s">
        <v>1130</v>
      </c>
      <c r="D272" s="714">
        <v>705</v>
      </c>
      <c r="E272" s="693" t="s">
        <v>28</v>
      </c>
    </row>
    <row r="273" spans="1:5" ht="12.75">
      <c r="A273" s="715">
        <v>7130860076</v>
      </c>
      <c r="B273" s="713" t="s">
        <v>51</v>
      </c>
      <c r="C273" s="710" t="s">
        <v>577</v>
      </c>
      <c r="D273" s="714">
        <v>61002</v>
      </c>
      <c r="E273" s="693" t="s">
        <v>29</v>
      </c>
    </row>
    <row r="274" spans="1:5" ht="12.75">
      <c r="A274" s="715">
        <v>7130860077</v>
      </c>
      <c r="B274" s="713" t="s">
        <v>52</v>
      </c>
      <c r="C274" s="710" t="s">
        <v>577</v>
      </c>
      <c r="D274" s="714">
        <v>61600</v>
      </c>
      <c r="E274" s="693" t="s">
        <v>30</v>
      </c>
    </row>
    <row r="275" spans="1:5" ht="15.75" customHeight="1">
      <c r="A275" s="719">
        <v>7130870010</v>
      </c>
      <c r="B275" s="730" t="s">
        <v>258</v>
      </c>
      <c r="C275" s="731" t="s">
        <v>1023</v>
      </c>
      <c r="D275" s="722">
        <v>681</v>
      </c>
      <c r="E275" s="693"/>
    </row>
    <row r="276" spans="1:5" ht="39.75" customHeight="1">
      <c r="A276" s="715">
        <v>7130870013</v>
      </c>
      <c r="B276" s="713" t="s">
        <v>571</v>
      </c>
      <c r="C276" s="710" t="s">
        <v>1130</v>
      </c>
      <c r="D276" s="714">
        <v>100</v>
      </c>
      <c r="E276" s="693" t="s">
        <v>31</v>
      </c>
    </row>
    <row r="277" spans="1:5" ht="15.75" customHeight="1">
      <c r="A277" s="715">
        <v>7130870030</v>
      </c>
      <c r="B277" s="890" t="s">
        <v>53</v>
      </c>
      <c r="C277" s="715" t="s">
        <v>1023</v>
      </c>
      <c r="D277" s="714">
        <v>371</v>
      </c>
      <c r="E277" s="693" t="s">
        <v>32</v>
      </c>
    </row>
    <row r="278" spans="1:5" ht="15.75" customHeight="1">
      <c r="A278" s="715">
        <v>7130870041</v>
      </c>
      <c r="B278" s="713" t="s">
        <v>54</v>
      </c>
      <c r="C278" s="710" t="s">
        <v>577</v>
      </c>
      <c r="D278" s="714">
        <v>55133</v>
      </c>
      <c r="E278" s="693" t="s">
        <v>33</v>
      </c>
    </row>
    <row r="279" spans="1:5" ht="15.75" customHeight="1">
      <c r="A279" s="715">
        <v>7130870043</v>
      </c>
      <c r="B279" s="713" t="s">
        <v>55</v>
      </c>
      <c r="C279" s="710" t="s">
        <v>577</v>
      </c>
      <c r="D279" s="714">
        <v>55094</v>
      </c>
      <c r="E279" s="693" t="s">
        <v>34</v>
      </c>
    </row>
    <row r="280" spans="1:5" ht="15.75" customHeight="1">
      <c r="A280" s="715">
        <v>7130870045</v>
      </c>
      <c r="B280" s="713" t="s">
        <v>56</v>
      </c>
      <c r="C280" s="710" t="s">
        <v>577</v>
      </c>
      <c r="D280" s="714">
        <v>55094</v>
      </c>
      <c r="E280" s="693" t="s">
        <v>35</v>
      </c>
    </row>
    <row r="281" spans="1:5" ht="27.75" customHeight="1">
      <c r="A281" s="717">
        <v>7130870088</v>
      </c>
      <c r="B281" s="713" t="s">
        <v>1673</v>
      </c>
      <c r="C281" s="710" t="s">
        <v>1130</v>
      </c>
      <c r="D281" s="714">
        <v>1930</v>
      </c>
      <c r="E281" s="693"/>
    </row>
    <row r="282" spans="1:5" ht="25.5">
      <c r="A282" s="720">
        <v>7130870318</v>
      </c>
      <c r="B282" s="713" t="s">
        <v>2051</v>
      </c>
      <c r="C282" s="710" t="s">
        <v>1022</v>
      </c>
      <c r="D282" s="714">
        <v>1003</v>
      </c>
      <c r="E282" s="693" t="s">
        <v>36</v>
      </c>
    </row>
    <row r="283" spans="1:6" ht="25.5" hidden="1">
      <c r="A283" s="1220">
        <v>7130877679</v>
      </c>
      <c r="B283" s="1210" t="s">
        <v>1279</v>
      </c>
      <c r="C283" s="1199" t="s">
        <v>1130</v>
      </c>
      <c r="D283" s="1207" t="s">
        <v>122</v>
      </c>
      <c r="E283" s="1202" t="s">
        <v>58</v>
      </c>
      <c r="F283" s="887"/>
    </row>
    <row r="284" spans="1:5" ht="27.75" customHeight="1">
      <c r="A284" s="729">
        <v>7130877681</v>
      </c>
      <c r="B284" s="721" t="s">
        <v>255</v>
      </c>
      <c r="C284" s="702" t="s">
        <v>1130</v>
      </c>
      <c r="D284" s="727">
        <v>2270</v>
      </c>
      <c r="E284" s="693" t="s">
        <v>57</v>
      </c>
    </row>
    <row r="285" spans="1:5" ht="25.5">
      <c r="A285" s="702">
        <v>7130877683</v>
      </c>
      <c r="B285" s="721" t="s">
        <v>256</v>
      </c>
      <c r="C285" s="702" t="s">
        <v>1130</v>
      </c>
      <c r="D285" s="714">
        <v>2018</v>
      </c>
      <c r="E285" s="693" t="s">
        <v>37</v>
      </c>
    </row>
    <row r="286" spans="1:5" ht="27" customHeight="1">
      <c r="A286" s="719">
        <v>7130880006</v>
      </c>
      <c r="B286" s="718" t="s">
        <v>1112</v>
      </c>
      <c r="C286" s="702" t="s">
        <v>1023</v>
      </c>
      <c r="D286" s="722">
        <v>113</v>
      </c>
      <c r="E286" s="693" t="s">
        <v>1746</v>
      </c>
    </row>
    <row r="287" spans="1:5" ht="27.75" customHeight="1">
      <c r="A287" s="719">
        <v>7130880006</v>
      </c>
      <c r="B287" s="730" t="s">
        <v>1984</v>
      </c>
      <c r="C287" s="738" t="s">
        <v>1023</v>
      </c>
      <c r="D287" s="722">
        <v>124</v>
      </c>
      <c r="E287" s="693" t="s">
        <v>1746</v>
      </c>
    </row>
    <row r="288" spans="1:5" ht="18" customHeight="1">
      <c r="A288" s="715">
        <v>7130880041</v>
      </c>
      <c r="B288" s="713" t="s">
        <v>1672</v>
      </c>
      <c r="C288" s="710" t="s">
        <v>1130</v>
      </c>
      <c r="D288" s="714">
        <v>74</v>
      </c>
      <c r="E288" s="693" t="s">
        <v>1747</v>
      </c>
    </row>
    <row r="289" spans="1:6" ht="18" hidden="1">
      <c r="A289" s="1201">
        <v>7130890003</v>
      </c>
      <c r="B289" s="1218" t="s">
        <v>111</v>
      </c>
      <c r="C289" s="1201" t="s">
        <v>1130</v>
      </c>
      <c r="D289" s="1207" t="s">
        <v>122</v>
      </c>
      <c r="E289" s="1202" t="s">
        <v>1748</v>
      </c>
      <c r="F289" s="887"/>
    </row>
    <row r="290" spans="1:5" ht="25.5">
      <c r="A290" s="719">
        <v>7130890004</v>
      </c>
      <c r="B290" s="718" t="s">
        <v>1786</v>
      </c>
      <c r="C290" s="710" t="s">
        <v>1680</v>
      </c>
      <c r="D290" s="714">
        <v>4543</v>
      </c>
      <c r="E290" s="693" t="s">
        <v>1749</v>
      </c>
    </row>
    <row r="291" spans="1:5" ht="25.5">
      <c r="A291" s="719">
        <v>7130890005</v>
      </c>
      <c r="B291" s="718" t="s">
        <v>1787</v>
      </c>
      <c r="C291" s="710" t="s">
        <v>1680</v>
      </c>
      <c r="D291" s="714">
        <v>5733</v>
      </c>
      <c r="E291" s="693"/>
    </row>
    <row r="292" spans="1:5" ht="25.5">
      <c r="A292" s="719">
        <v>7130890006</v>
      </c>
      <c r="B292" s="718" t="s">
        <v>1788</v>
      </c>
      <c r="C292" s="710" t="s">
        <v>1680</v>
      </c>
      <c r="D292" s="714">
        <v>13002</v>
      </c>
      <c r="E292" s="693" t="s">
        <v>1750</v>
      </c>
    </row>
    <row r="293" spans="1:5" ht="25.5">
      <c r="A293" s="719">
        <v>7130890007</v>
      </c>
      <c r="B293" s="718" t="s">
        <v>1789</v>
      </c>
      <c r="C293" s="710" t="s">
        <v>1680</v>
      </c>
      <c r="D293" s="714">
        <v>13621</v>
      </c>
      <c r="E293" s="693" t="s">
        <v>1751</v>
      </c>
    </row>
    <row r="294" spans="1:5" ht="25.5" customHeight="1">
      <c r="A294" s="719">
        <v>7130890008</v>
      </c>
      <c r="B294" s="718" t="s">
        <v>1790</v>
      </c>
      <c r="C294" s="702" t="s">
        <v>1680</v>
      </c>
      <c r="D294" s="722">
        <v>51</v>
      </c>
      <c r="E294" s="693" t="s">
        <v>1752</v>
      </c>
    </row>
    <row r="295" spans="1:5" ht="14.25" customHeight="1">
      <c r="A295" s="719">
        <v>7130890009</v>
      </c>
      <c r="B295" s="735" t="s">
        <v>1791</v>
      </c>
      <c r="C295" s="714" t="s">
        <v>1680</v>
      </c>
      <c r="D295" s="727">
        <v>4017</v>
      </c>
      <c r="E295" s="693" t="s">
        <v>1753</v>
      </c>
    </row>
    <row r="296" spans="1:5" ht="12.75">
      <c r="A296" s="719">
        <v>7130893004</v>
      </c>
      <c r="B296" s="732" t="s">
        <v>257</v>
      </c>
      <c r="C296" s="731" t="s">
        <v>1023</v>
      </c>
      <c r="D296" s="722">
        <v>161</v>
      </c>
      <c r="E296" s="693" t="s">
        <v>1754</v>
      </c>
    </row>
    <row r="297" spans="1:5" ht="16.5" customHeight="1">
      <c r="A297" s="715">
        <v>7130897759</v>
      </c>
      <c r="B297" s="890" t="s">
        <v>59</v>
      </c>
      <c r="C297" s="715" t="s">
        <v>1022</v>
      </c>
      <c r="D297" s="714">
        <v>3315</v>
      </c>
      <c r="E297" s="693" t="s">
        <v>1755</v>
      </c>
    </row>
    <row r="298" spans="1:5" ht="12.75">
      <c r="A298" s="719">
        <v>7131210001</v>
      </c>
      <c r="B298" s="718" t="s">
        <v>2109</v>
      </c>
      <c r="C298" s="702" t="s">
        <v>1680</v>
      </c>
      <c r="D298" s="722">
        <v>106</v>
      </c>
      <c r="E298" s="693"/>
    </row>
    <row r="299" spans="1:6" ht="18" customHeight="1" hidden="1">
      <c r="A299" s="1219">
        <v>7131210846</v>
      </c>
      <c r="B299" s="1210" t="s">
        <v>112</v>
      </c>
      <c r="C299" s="1211" t="s">
        <v>1023</v>
      </c>
      <c r="D299" s="1207" t="s">
        <v>122</v>
      </c>
      <c r="E299" s="1202" t="s">
        <v>1756</v>
      </c>
      <c r="F299" s="887"/>
    </row>
    <row r="300" spans="1:5" ht="15.75" customHeight="1">
      <c r="A300" s="717">
        <v>7131210852</v>
      </c>
      <c r="B300" s="713" t="s">
        <v>746</v>
      </c>
      <c r="C300" s="710" t="s">
        <v>1130</v>
      </c>
      <c r="D300" s="714">
        <v>97</v>
      </c>
      <c r="E300" s="693"/>
    </row>
    <row r="301" spans="1:5" ht="15.75" customHeight="1">
      <c r="A301" s="717">
        <v>7131210881</v>
      </c>
      <c r="B301" s="713" t="s">
        <v>2121</v>
      </c>
      <c r="C301" s="710" t="s">
        <v>1130</v>
      </c>
      <c r="D301" s="714">
        <v>1260</v>
      </c>
      <c r="E301" s="693" t="s">
        <v>1757</v>
      </c>
    </row>
    <row r="302" spans="1:5" ht="15" customHeight="1">
      <c r="A302" s="715">
        <v>7131220182</v>
      </c>
      <c r="B302" s="713" t="s">
        <v>2124</v>
      </c>
      <c r="C302" s="710" t="s">
        <v>1130</v>
      </c>
      <c r="D302" s="714">
        <v>52</v>
      </c>
      <c r="E302" s="693" t="s">
        <v>1758</v>
      </c>
    </row>
    <row r="303" spans="1:5" ht="15.75" customHeight="1">
      <c r="A303" s="717">
        <v>7131230003</v>
      </c>
      <c r="B303" s="713" t="s">
        <v>2122</v>
      </c>
      <c r="C303" s="710" t="s">
        <v>1130</v>
      </c>
      <c r="D303" s="714">
        <v>470</v>
      </c>
      <c r="E303" s="693" t="s">
        <v>1759</v>
      </c>
    </row>
    <row r="304" spans="1:5" ht="15.75" customHeight="1">
      <c r="A304" s="717">
        <v>7131230116</v>
      </c>
      <c r="B304" s="713" t="s">
        <v>2120</v>
      </c>
      <c r="C304" s="710" t="s">
        <v>1130</v>
      </c>
      <c r="D304" s="714">
        <v>370</v>
      </c>
      <c r="E304" s="693" t="s">
        <v>1760</v>
      </c>
    </row>
    <row r="305" spans="1:5" ht="27" customHeight="1">
      <c r="A305" s="733">
        <v>7131230128</v>
      </c>
      <c r="B305" s="713" t="s">
        <v>2132</v>
      </c>
      <c r="C305" s="710" t="s">
        <v>1130</v>
      </c>
      <c r="D305" s="722">
        <v>1967</v>
      </c>
      <c r="E305" s="693" t="s">
        <v>1761</v>
      </c>
    </row>
    <row r="306" spans="1:5" ht="18" customHeight="1">
      <c r="A306" s="717">
        <v>7131280006</v>
      </c>
      <c r="B306" s="713" t="s">
        <v>2116</v>
      </c>
      <c r="C306" s="710" t="s">
        <v>1130</v>
      </c>
      <c r="D306" s="714">
        <v>103</v>
      </c>
      <c r="E306" s="693"/>
    </row>
    <row r="307" spans="1:5" ht="12.75">
      <c r="A307" s="717">
        <v>7131280007</v>
      </c>
      <c r="B307" s="713" t="s">
        <v>2117</v>
      </c>
      <c r="C307" s="710" t="s">
        <v>1130</v>
      </c>
      <c r="D307" s="714">
        <v>135</v>
      </c>
      <c r="E307" s="693" t="s">
        <v>1762</v>
      </c>
    </row>
    <row r="308" spans="1:5" ht="12.75">
      <c r="A308" s="717">
        <v>7131280008</v>
      </c>
      <c r="B308" s="713" t="s">
        <v>2118</v>
      </c>
      <c r="C308" s="710" t="s">
        <v>1130</v>
      </c>
      <c r="D308" s="714">
        <v>174</v>
      </c>
      <c r="E308" s="693"/>
    </row>
    <row r="309" spans="1:5" ht="12.75">
      <c r="A309" s="717">
        <v>7131280009</v>
      </c>
      <c r="B309" s="713" t="s">
        <v>2119</v>
      </c>
      <c r="C309" s="710" t="s">
        <v>1130</v>
      </c>
      <c r="D309" s="714">
        <v>161</v>
      </c>
      <c r="E309" s="693"/>
    </row>
    <row r="310" spans="1:5" ht="12.75">
      <c r="A310" s="717">
        <v>7131280010</v>
      </c>
      <c r="B310" s="713" t="s">
        <v>2123</v>
      </c>
      <c r="C310" s="710" t="s">
        <v>1130</v>
      </c>
      <c r="D310" s="714">
        <v>99</v>
      </c>
      <c r="E310" s="693"/>
    </row>
    <row r="311" spans="1:5" ht="25.5">
      <c r="A311" s="717">
        <v>7131280011</v>
      </c>
      <c r="B311" s="713" t="s">
        <v>2125</v>
      </c>
      <c r="C311" s="710" t="s">
        <v>1130</v>
      </c>
      <c r="D311" s="714">
        <v>6502</v>
      </c>
      <c r="E311" s="693"/>
    </row>
    <row r="312" spans="1:5" ht="12.75">
      <c r="A312" s="717">
        <v>7131280012</v>
      </c>
      <c r="B312" s="713" t="s">
        <v>2126</v>
      </c>
      <c r="C312" s="710" t="s">
        <v>1130</v>
      </c>
      <c r="D312" s="714">
        <v>650</v>
      </c>
      <c r="E312" s="693" t="s">
        <v>1763</v>
      </c>
    </row>
    <row r="313" spans="1:5" ht="12.75">
      <c r="A313" s="717">
        <v>7131280013</v>
      </c>
      <c r="B313" s="713" t="s">
        <v>2127</v>
      </c>
      <c r="C313" s="710" t="s">
        <v>1130</v>
      </c>
      <c r="D313" s="714">
        <v>2718</v>
      </c>
      <c r="E313" s="693" t="s">
        <v>1764</v>
      </c>
    </row>
    <row r="314" spans="1:5" ht="12.75">
      <c r="A314" s="717">
        <v>7131280014</v>
      </c>
      <c r="B314" s="713" t="s">
        <v>2128</v>
      </c>
      <c r="C314" s="710" t="s">
        <v>1130</v>
      </c>
      <c r="D314" s="714">
        <v>325</v>
      </c>
      <c r="E314" s="693" t="s">
        <v>1765</v>
      </c>
    </row>
    <row r="315" spans="1:5" ht="12.75">
      <c r="A315" s="717">
        <v>7131280015</v>
      </c>
      <c r="B315" s="713" t="s">
        <v>2129</v>
      </c>
      <c r="C315" s="710" t="s">
        <v>1130</v>
      </c>
      <c r="D315" s="714">
        <v>1355</v>
      </c>
      <c r="E315" s="693" t="s">
        <v>1766</v>
      </c>
    </row>
    <row r="316" spans="1:5" ht="25.5">
      <c r="A316" s="717">
        <v>7131280016</v>
      </c>
      <c r="B316" s="713" t="s">
        <v>2130</v>
      </c>
      <c r="C316" s="710" t="s">
        <v>1130</v>
      </c>
      <c r="D316" s="714">
        <v>3100</v>
      </c>
      <c r="E316" s="693" t="s">
        <v>1767</v>
      </c>
    </row>
    <row r="317" spans="1:5" ht="25.5">
      <c r="A317" s="717">
        <v>7131280017</v>
      </c>
      <c r="B317" s="713" t="s">
        <v>2131</v>
      </c>
      <c r="C317" s="710" t="s">
        <v>1130</v>
      </c>
      <c r="D317" s="714">
        <v>3874</v>
      </c>
      <c r="E317" s="693" t="s">
        <v>1768</v>
      </c>
    </row>
    <row r="318" spans="1:5" ht="12.75">
      <c r="A318" s="717">
        <v>7131280882</v>
      </c>
      <c r="B318" s="713" t="s">
        <v>747</v>
      </c>
      <c r="C318" s="710" t="s">
        <v>1130</v>
      </c>
      <c r="D318" s="714">
        <v>97</v>
      </c>
      <c r="E318" s="693"/>
    </row>
    <row r="319" spans="1:5" ht="25.5">
      <c r="A319" s="715">
        <v>7131300046</v>
      </c>
      <c r="B319" s="713" t="s">
        <v>2135</v>
      </c>
      <c r="C319" s="710" t="s">
        <v>1130</v>
      </c>
      <c r="D319" s="714">
        <v>2326</v>
      </c>
      <c r="E319" s="693" t="s">
        <v>1769</v>
      </c>
    </row>
    <row r="320" spans="1:5" ht="25.5">
      <c r="A320" s="704">
        <v>7131300065</v>
      </c>
      <c r="B320" s="705" t="s">
        <v>210</v>
      </c>
      <c r="C320" s="706" t="s">
        <v>1130</v>
      </c>
      <c r="D320" s="707">
        <v>1039058</v>
      </c>
      <c r="E320" s="693" t="s">
        <v>1770</v>
      </c>
    </row>
    <row r="321" spans="1:5" ht="12.75">
      <c r="A321" s="719">
        <v>7131300067</v>
      </c>
      <c r="B321" s="721" t="s">
        <v>1855</v>
      </c>
      <c r="C321" s="704" t="s">
        <v>1680</v>
      </c>
      <c r="D321" s="707">
        <v>178</v>
      </c>
      <c r="E321" s="693"/>
    </row>
    <row r="322" spans="1:5" ht="12.75">
      <c r="A322" s="719">
        <v>7131300082</v>
      </c>
      <c r="B322" s="721" t="s">
        <v>488</v>
      </c>
      <c r="C322" s="702" t="s">
        <v>1680</v>
      </c>
      <c r="D322" s="722">
        <v>648</v>
      </c>
      <c r="E322" s="693" t="s">
        <v>1771</v>
      </c>
    </row>
    <row r="323" spans="1:5" ht="38.25">
      <c r="A323" s="715">
        <v>7131300500</v>
      </c>
      <c r="B323" s="713" t="s">
        <v>1087</v>
      </c>
      <c r="C323" s="710" t="s">
        <v>1130</v>
      </c>
      <c r="D323" s="714">
        <v>975</v>
      </c>
      <c r="E323" s="693" t="s">
        <v>1772</v>
      </c>
    </row>
    <row r="324" spans="1:5" ht="12.75">
      <c r="A324" s="706">
        <v>7131300881</v>
      </c>
      <c r="B324" s="705" t="s">
        <v>209</v>
      </c>
      <c r="C324" s="706" t="s">
        <v>1130</v>
      </c>
      <c r="D324" s="708">
        <v>50063</v>
      </c>
      <c r="E324" s="693" t="s">
        <v>1773</v>
      </c>
    </row>
    <row r="325" spans="1:5" ht="12.75">
      <c r="A325" s="706">
        <v>7131310013</v>
      </c>
      <c r="B325" s="705" t="s">
        <v>208</v>
      </c>
      <c r="C325" s="706" t="s">
        <v>1130</v>
      </c>
      <c r="D325" s="708">
        <v>4030</v>
      </c>
      <c r="E325" s="693" t="s">
        <v>1774</v>
      </c>
    </row>
    <row r="326" spans="1:5" ht="25.5">
      <c r="A326" s="715">
        <v>7131310015</v>
      </c>
      <c r="B326" s="713" t="s">
        <v>2139</v>
      </c>
      <c r="C326" s="710" t="s">
        <v>1130</v>
      </c>
      <c r="D326" s="714">
        <v>11297</v>
      </c>
      <c r="E326" s="693" t="s">
        <v>1775</v>
      </c>
    </row>
    <row r="327" spans="1:5" ht="25.5">
      <c r="A327" s="706">
        <v>7131310033</v>
      </c>
      <c r="B327" s="705" t="s">
        <v>1542</v>
      </c>
      <c r="C327" s="706" t="s">
        <v>1130</v>
      </c>
      <c r="D327" s="708">
        <v>3970</v>
      </c>
      <c r="E327" s="693" t="s">
        <v>1776</v>
      </c>
    </row>
    <row r="328" spans="1:5" ht="25.5">
      <c r="A328" s="706">
        <v>7131310034</v>
      </c>
      <c r="B328" s="705" t="s">
        <v>205</v>
      </c>
      <c r="C328" s="706" t="s">
        <v>1130</v>
      </c>
      <c r="D328" s="708">
        <v>4030</v>
      </c>
      <c r="E328" s="693" t="s">
        <v>1776</v>
      </c>
    </row>
    <row r="329" spans="1:5" ht="15.75" customHeight="1">
      <c r="A329" s="706">
        <v>7131310035</v>
      </c>
      <c r="B329" s="705" t="s">
        <v>207</v>
      </c>
      <c r="C329" s="706" t="s">
        <v>1130</v>
      </c>
      <c r="D329" s="708">
        <v>16362</v>
      </c>
      <c r="E329" s="693" t="s">
        <v>1777</v>
      </c>
    </row>
    <row r="330" spans="1:5" ht="15.75" customHeight="1">
      <c r="A330" s="706">
        <v>7131310036</v>
      </c>
      <c r="B330" s="705" t="s">
        <v>206</v>
      </c>
      <c r="C330" s="706" t="s">
        <v>1130</v>
      </c>
      <c r="D330" s="708">
        <v>16362</v>
      </c>
      <c r="E330" s="693" t="s">
        <v>1778</v>
      </c>
    </row>
    <row r="331" spans="1:5" ht="15.75" customHeight="1">
      <c r="A331" s="706">
        <v>7131310037</v>
      </c>
      <c r="B331" s="705" t="s">
        <v>2019</v>
      </c>
      <c r="C331" s="706" t="s">
        <v>1130</v>
      </c>
      <c r="D331" s="708">
        <v>870</v>
      </c>
      <c r="E331" s="693" t="s">
        <v>1779</v>
      </c>
    </row>
    <row r="332" spans="1:5" ht="25.5">
      <c r="A332" s="715">
        <v>7131310994</v>
      </c>
      <c r="B332" s="713" t="s">
        <v>2136</v>
      </c>
      <c r="C332" s="710" t="s">
        <v>1130</v>
      </c>
      <c r="D332" s="714">
        <v>2618</v>
      </c>
      <c r="E332" s="693" t="s">
        <v>1780</v>
      </c>
    </row>
    <row r="333" spans="1:5" ht="25.5">
      <c r="A333" s="715">
        <v>7131310997</v>
      </c>
      <c r="B333" s="713" t="s">
        <v>2137</v>
      </c>
      <c r="C333" s="710" t="s">
        <v>1130</v>
      </c>
      <c r="D333" s="714">
        <v>2487</v>
      </c>
      <c r="E333" s="693" t="s">
        <v>1781</v>
      </c>
    </row>
    <row r="334" spans="1:5" ht="19.5" customHeight="1">
      <c r="A334" s="733">
        <v>7131320009</v>
      </c>
      <c r="B334" s="718" t="s">
        <v>1728</v>
      </c>
      <c r="C334" s="702" t="s">
        <v>1680</v>
      </c>
      <c r="D334" s="722">
        <v>2700</v>
      </c>
      <c r="E334" s="693" t="s">
        <v>1782</v>
      </c>
    </row>
    <row r="335" spans="1:5" ht="25.5">
      <c r="A335" s="719">
        <v>7131321603</v>
      </c>
      <c r="B335" s="718" t="s">
        <v>1857</v>
      </c>
      <c r="C335" s="702" t="s">
        <v>1680</v>
      </c>
      <c r="D335" s="722">
        <v>3940</v>
      </c>
      <c r="E335" s="693"/>
    </row>
    <row r="336" spans="1:5" ht="17.25" customHeight="1">
      <c r="A336" s="719">
        <v>7131324780</v>
      </c>
      <c r="B336" s="718" t="s">
        <v>1732</v>
      </c>
      <c r="C336" s="702" t="s">
        <v>1680</v>
      </c>
      <c r="D336" s="722">
        <v>3240</v>
      </c>
      <c r="E336" s="693"/>
    </row>
    <row r="337" spans="1:5" ht="17.25" customHeight="1">
      <c r="A337" s="733">
        <v>7131324806</v>
      </c>
      <c r="B337" s="718" t="s">
        <v>1733</v>
      </c>
      <c r="C337" s="702" t="s">
        <v>1680</v>
      </c>
      <c r="D337" s="722">
        <v>4883</v>
      </c>
      <c r="E337" s="693" t="s">
        <v>1783</v>
      </c>
    </row>
    <row r="338" spans="1:5" ht="25.5">
      <c r="A338" s="717">
        <v>7131329275</v>
      </c>
      <c r="B338" s="713" t="s">
        <v>212</v>
      </c>
      <c r="C338" s="710" t="s">
        <v>1130</v>
      </c>
      <c r="D338" s="714">
        <v>6842</v>
      </c>
      <c r="E338" s="693"/>
    </row>
    <row r="339" spans="1:9" ht="25.5">
      <c r="A339" s="717">
        <v>7131334001</v>
      </c>
      <c r="B339" s="713" t="s">
        <v>213</v>
      </c>
      <c r="C339" s="710" t="s">
        <v>1680</v>
      </c>
      <c r="D339" s="714">
        <v>7851</v>
      </c>
      <c r="E339" s="693" t="s">
        <v>1881</v>
      </c>
      <c r="I339" s="710" t="s">
        <v>60</v>
      </c>
    </row>
    <row r="340" spans="1:9" ht="38.25" customHeight="1">
      <c r="A340" s="717">
        <v>7131334002</v>
      </c>
      <c r="B340" s="713" t="s">
        <v>214</v>
      </c>
      <c r="C340" s="710" t="s">
        <v>1680</v>
      </c>
      <c r="D340" s="714">
        <v>7278</v>
      </c>
      <c r="E340" s="693" t="s">
        <v>1882</v>
      </c>
      <c r="I340" s="710" t="s">
        <v>61</v>
      </c>
    </row>
    <row r="341" spans="1:9" ht="25.5">
      <c r="A341" s="717">
        <v>7131399007</v>
      </c>
      <c r="B341" s="713" t="s">
        <v>215</v>
      </c>
      <c r="C341" s="710" t="s">
        <v>1680</v>
      </c>
      <c r="D341" s="714">
        <v>1585</v>
      </c>
      <c r="E341" s="693"/>
      <c r="I341" s="710" t="s">
        <v>62</v>
      </c>
    </row>
    <row r="342" spans="1:5" ht="25.5">
      <c r="A342" s="719">
        <v>7131338004</v>
      </c>
      <c r="B342" s="718" t="s">
        <v>486</v>
      </c>
      <c r="C342" s="702" t="s">
        <v>1680</v>
      </c>
      <c r="D342" s="722">
        <v>64638</v>
      </c>
      <c r="E342" s="693"/>
    </row>
    <row r="343" spans="1:5" ht="14.25" customHeight="1">
      <c r="A343" s="733">
        <v>7131338025</v>
      </c>
      <c r="B343" s="721" t="s">
        <v>477</v>
      </c>
      <c r="C343" s="702" t="s">
        <v>1680</v>
      </c>
      <c r="D343" s="722">
        <v>51</v>
      </c>
      <c r="E343" s="693" t="s">
        <v>1883</v>
      </c>
    </row>
    <row r="344" spans="1:5" ht="13.5" customHeight="1">
      <c r="A344" s="719">
        <v>7131387501</v>
      </c>
      <c r="B344" s="718" t="s">
        <v>1727</v>
      </c>
      <c r="C344" s="702" t="s">
        <v>1680</v>
      </c>
      <c r="D344" s="722">
        <v>216</v>
      </c>
      <c r="E344" s="289"/>
    </row>
    <row r="345" spans="1:5" ht="15.75" customHeight="1">
      <c r="A345" s="719">
        <v>7131387502</v>
      </c>
      <c r="B345" s="718" t="s">
        <v>1730</v>
      </c>
      <c r="C345" s="702" t="s">
        <v>1680</v>
      </c>
      <c r="D345" s="722">
        <v>427</v>
      </c>
      <c r="E345" s="289" t="s">
        <v>1884</v>
      </c>
    </row>
    <row r="346" spans="1:6" ht="38.25" hidden="1">
      <c r="A346" s="1199">
        <v>7131390009</v>
      </c>
      <c r="B346" s="1210" t="s">
        <v>607</v>
      </c>
      <c r="C346" s="1199" t="s">
        <v>1680</v>
      </c>
      <c r="D346" s="1207" t="s">
        <v>122</v>
      </c>
      <c r="E346" s="1214"/>
      <c r="F346" s="887"/>
    </row>
    <row r="347" spans="1:6" ht="29.25" customHeight="1" hidden="1">
      <c r="A347" s="1199">
        <v>7131390010</v>
      </c>
      <c r="B347" s="1218" t="s">
        <v>608</v>
      </c>
      <c r="C347" s="1199" t="s">
        <v>1130</v>
      </c>
      <c r="D347" s="1207" t="s">
        <v>122</v>
      </c>
      <c r="E347" s="1214"/>
      <c r="F347" s="887"/>
    </row>
    <row r="348" spans="1:6" ht="38.25" hidden="1">
      <c r="A348" s="1199">
        <v>7131390012</v>
      </c>
      <c r="B348" s="1210" t="s">
        <v>609</v>
      </c>
      <c r="C348" s="1199" t="s">
        <v>1680</v>
      </c>
      <c r="D348" s="1207" t="s">
        <v>122</v>
      </c>
      <c r="E348" s="1214"/>
      <c r="F348" s="887"/>
    </row>
    <row r="349" spans="1:6" ht="39.75" customHeight="1" hidden="1">
      <c r="A349" s="1199">
        <v>7131390013</v>
      </c>
      <c r="B349" s="1210" t="s">
        <v>610</v>
      </c>
      <c r="C349" s="1199" t="s">
        <v>1680</v>
      </c>
      <c r="D349" s="1207" t="s">
        <v>122</v>
      </c>
      <c r="E349" s="1214"/>
      <c r="F349" s="887"/>
    </row>
    <row r="350" spans="1:5" ht="12.75">
      <c r="A350" s="719">
        <v>7131390014</v>
      </c>
      <c r="B350" s="718" t="s">
        <v>1506</v>
      </c>
      <c r="C350" s="702" t="s">
        <v>1680</v>
      </c>
      <c r="D350" s="722">
        <v>169</v>
      </c>
      <c r="E350" s="289"/>
    </row>
    <row r="351" spans="1:5" ht="12.75">
      <c r="A351" s="719">
        <v>7131390015</v>
      </c>
      <c r="B351" s="718" t="s">
        <v>1507</v>
      </c>
      <c r="C351" s="702" t="s">
        <v>1680</v>
      </c>
      <c r="D351" s="722">
        <v>31</v>
      </c>
      <c r="E351" s="289"/>
    </row>
    <row r="352" spans="1:5" ht="15" customHeight="1">
      <c r="A352" s="719">
        <v>7131390016</v>
      </c>
      <c r="B352" s="718" t="s">
        <v>1508</v>
      </c>
      <c r="C352" s="702" t="s">
        <v>1680</v>
      </c>
      <c r="D352" s="722">
        <v>420</v>
      </c>
      <c r="E352" s="289"/>
    </row>
    <row r="353" spans="1:5" ht="15" customHeight="1">
      <c r="A353" s="717">
        <v>7131820031</v>
      </c>
      <c r="B353" s="713" t="s">
        <v>63</v>
      </c>
      <c r="C353" s="710" t="s">
        <v>1130</v>
      </c>
      <c r="D353" s="714">
        <v>101</v>
      </c>
      <c r="E353" s="289"/>
    </row>
    <row r="354" spans="1:5" ht="15" customHeight="1">
      <c r="A354" s="717">
        <v>7131820032</v>
      </c>
      <c r="B354" s="713" t="s">
        <v>64</v>
      </c>
      <c r="C354" s="710" t="s">
        <v>1130</v>
      </c>
      <c r="D354" s="714">
        <v>101</v>
      </c>
      <c r="E354" s="289" t="s">
        <v>1885</v>
      </c>
    </row>
    <row r="355" spans="1:5" ht="15" customHeight="1">
      <c r="A355" s="717">
        <v>7131820033</v>
      </c>
      <c r="B355" s="713" t="s">
        <v>66</v>
      </c>
      <c r="C355" s="710" t="s">
        <v>1130</v>
      </c>
      <c r="D355" s="714">
        <v>430</v>
      </c>
      <c r="E355" s="289"/>
    </row>
    <row r="356" spans="1:5" ht="15" customHeight="1">
      <c r="A356" s="717">
        <v>7131820034</v>
      </c>
      <c r="B356" s="713" t="s">
        <v>65</v>
      </c>
      <c r="C356" s="710" t="s">
        <v>1130</v>
      </c>
      <c r="D356" s="714">
        <v>430</v>
      </c>
      <c r="E356" s="289"/>
    </row>
    <row r="357" spans="1:5" ht="25.5" customHeight="1">
      <c r="A357" s="717">
        <v>7131820035</v>
      </c>
      <c r="B357" s="713" t="s">
        <v>67</v>
      </c>
      <c r="C357" s="710" t="s">
        <v>1130</v>
      </c>
      <c r="D357" s="714">
        <v>2865</v>
      </c>
      <c r="E357" s="289"/>
    </row>
    <row r="358" spans="1:5" ht="25.5">
      <c r="A358" s="717">
        <v>7131820036</v>
      </c>
      <c r="B358" s="713" t="s">
        <v>68</v>
      </c>
      <c r="C358" s="710" t="s">
        <v>1130</v>
      </c>
      <c r="D358" s="714">
        <v>3104</v>
      </c>
      <c r="E358" s="289"/>
    </row>
    <row r="359" spans="1:5" ht="25.5">
      <c r="A359" s="717">
        <v>7131820037</v>
      </c>
      <c r="B359" s="713" t="s">
        <v>69</v>
      </c>
      <c r="C359" s="710" t="s">
        <v>1130</v>
      </c>
      <c r="D359" s="714">
        <v>3104</v>
      </c>
      <c r="E359" s="289"/>
    </row>
    <row r="360" spans="1:5" ht="16.5" customHeight="1">
      <c r="A360" s="717">
        <v>7131820038</v>
      </c>
      <c r="B360" s="713" t="s">
        <v>70</v>
      </c>
      <c r="C360" s="710" t="s">
        <v>1130</v>
      </c>
      <c r="D360" s="714">
        <v>2268</v>
      </c>
      <c r="E360" s="289"/>
    </row>
    <row r="361" spans="1:5" ht="16.5" customHeight="1">
      <c r="A361" s="717">
        <v>7131820039</v>
      </c>
      <c r="B361" s="713" t="s">
        <v>71</v>
      </c>
      <c r="C361" s="710" t="s">
        <v>1130</v>
      </c>
      <c r="D361" s="714">
        <v>5193</v>
      </c>
      <c r="E361" s="289" t="s">
        <v>1886</v>
      </c>
    </row>
    <row r="362" spans="1:5" ht="25.5">
      <c r="A362" s="715">
        <v>7131900005</v>
      </c>
      <c r="B362" s="705" t="s">
        <v>2098</v>
      </c>
      <c r="C362" s="710" t="s">
        <v>1130</v>
      </c>
      <c r="D362" s="714">
        <v>2114</v>
      </c>
      <c r="E362" s="693" t="s">
        <v>1887</v>
      </c>
    </row>
    <row r="363" spans="1:5" ht="14.25" hidden="1">
      <c r="A363" s="1216">
        <v>7131900005</v>
      </c>
      <c r="B363" s="1214"/>
      <c r="C363" s="1214"/>
      <c r="D363" s="1217">
        <v>2603</v>
      </c>
      <c r="E363" s="1202" t="s">
        <v>1887</v>
      </c>
    </row>
    <row r="364" spans="1:5" ht="25.5">
      <c r="A364" s="724">
        <v>7131900033</v>
      </c>
      <c r="B364" s="721" t="s">
        <v>72</v>
      </c>
      <c r="C364" s="706" t="s">
        <v>1023</v>
      </c>
      <c r="D364" s="708">
        <v>7</v>
      </c>
      <c r="E364" s="693" t="s">
        <v>1360</v>
      </c>
    </row>
    <row r="365" spans="1:5" ht="17.25" customHeight="1">
      <c r="A365" s="717">
        <v>7131900071</v>
      </c>
      <c r="B365" s="713" t="s">
        <v>73</v>
      </c>
      <c r="C365" s="710" t="s">
        <v>1130</v>
      </c>
      <c r="D365" s="727">
        <v>283</v>
      </c>
      <c r="E365" s="693" t="s">
        <v>1361</v>
      </c>
    </row>
    <row r="366" spans="1:5" ht="12.75">
      <c r="A366" s="717">
        <v>7131900072</v>
      </c>
      <c r="B366" s="713" t="s">
        <v>74</v>
      </c>
      <c r="C366" s="710" t="s">
        <v>1130</v>
      </c>
      <c r="D366" s="727">
        <v>435</v>
      </c>
      <c r="E366" s="693" t="s">
        <v>1362</v>
      </c>
    </row>
    <row r="367" spans="1:5" ht="21" customHeight="1">
      <c r="A367" s="724">
        <v>7131900625</v>
      </c>
      <c r="B367" s="721" t="s">
        <v>76</v>
      </c>
      <c r="C367" s="706" t="s">
        <v>1023</v>
      </c>
      <c r="D367" s="708">
        <v>13</v>
      </c>
      <c r="E367" s="693" t="s">
        <v>1363</v>
      </c>
    </row>
    <row r="368" spans="1:5" ht="17.25" customHeight="1">
      <c r="A368" s="724">
        <v>7131900650</v>
      </c>
      <c r="B368" s="721" t="s">
        <v>77</v>
      </c>
      <c r="C368" s="706" t="s">
        <v>1023</v>
      </c>
      <c r="D368" s="708">
        <v>14</v>
      </c>
      <c r="E368" s="693" t="s">
        <v>1364</v>
      </c>
    </row>
    <row r="369" spans="1:5" ht="18" customHeight="1">
      <c r="A369" s="715">
        <v>7131900876</v>
      </c>
      <c r="B369" s="713" t="s">
        <v>79</v>
      </c>
      <c r="C369" s="710" t="s">
        <v>1130</v>
      </c>
      <c r="D369" s="714">
        <v>279</v>
      </c>
      <c r="E369" s="693" t="s">
        <v>1365</v>
      </c>
    </row>
    <row r="370" spans="1:5" ht="18.75" customHeight="1">
      <c r="A370" s="717">
        <v>7131900876</v>
      </c>
      <c r="B370" s="713" t="s">
        <v>75</v>
      </c>
      <c r="C370" s="710" t="s">
        <v>1130</v>
      </c>
      <c r="D370" s="727">
        <v>109</v>
      </c>
      <c r="E370" s="693" t="s">
        <v>1365</v>
      </c>
    </row>
    <row r="371" spans="1:5" ht="16.5" customHeight="1">
      <c r="A371" s="715">
        <v>7131900880</v>
      </c>
      <c r="B371" s="713" t="s">
        <v>78</v>
      </c>
      <c r="C371" s="710" t="s">
        <v>1130</v>
      </c>
      <c r="D371" s="714">
        <v>701</v>
      </c>
      <c r="E371" s="693" t="s">
        <v>674</v>
      </c>
    </row>
    <row r="372" spans="1:5" ht="17.25" customHeight="1">
      <c r="A372" s="715">
        <v>7131900881</v>
      </c>
      <c r="B372" s="713" t="s">
        <v>80</v>
      </c>
      <c r="C372" s="710" t="s">
        <v>1130</v>
      </c>
      <c r="D372" s="714">
        <v>775</v>
      </c>
      <c r="E372" s="693" t="s">
        <v>675</v>
      </c>
    </row>
    <row r="373" spans="1:5" ht="12.75">
      <c r="A373" s="706">
        <v>7131900969</v>
      </c>
      <c r="B373" s="721" t="s">
        <v>81</v>
      </c>
      <c r="C373" s="706" t="s">
        <v>1070</v>
      </c>
      <c r="D373" s="708">
        <v>684</v>
      </c>
      <c r="E373" s="693" t="s">
        <v>676</v>
      </c>
    </row>
    <row r="374" spans="1:5" ht="12.75" customHeight="1">
      <c r="A374" s="706">
        <v>7131900971</v>
      </c>
      <c r="B374" s="721" t="s">
        <v>82</v>
      </c>
      <c r="C374" s="706" t="s">
        <v>1070</v>
      </c>
      <c r="D374" s="708">
        <v>683</v>
      </c>
      <c r="E374" s="693" t="s">
        <v>677</v>
      </c>
    </row>
    <row r="375" spans="1:5" ht="15.75" customHeight="1">
      <c r="A375" s="706">
        <v>7131900973</v>
      </c>
      <c r="B375" s="721" t="s">
        <v>83</v>
      </c>
      <c r="C375" s="706" t="s">
        <v>1070</v>
      </c>
      <c r="D375" s="708">
        <v>681</v>
      </c>
      <c r="E375" s="693" t="s">
        <v>678</v>
      </c>
    </row>
    <row r="376" spans="1:5" ht="12.75">
      <c r="A376" s="706">
        <v>7131900975</v>
      </c>
      <c r="B376" s="721" t="s">
        <v>1744</v>
      </c>
      <c r="C376" s="706" t="s">
        <v>1070</v>
      </c>
      <c r="D376" s="708">
        <v>674</v>
      </c>
      <c r="E376" s="693" t="s">
        <v>679</v>
      </c>
    </row>
    <row r="377" spans="1:5" ht="12.75" customHeight="1">
      <c r="A377" s="706">
        <v>7131900977</v>
      </c>
      <c r="B377" s="721" t="s">
        <v>1745</v>
      </c>
      <c r="C377" s="706" t="s">
        <v>1070</v>
      </c>
      <c r="D377" s="708">
        <v>671</v>
      </c>
      <c r="E377" s="693" t="s">
        <v>680</v>
      </c>
    </row>
    <row r="378" spans="1:5" ht="12.75">
      <c r="A378" s="706">
        <v>7131900979</v>
      </c>
      <c r="B378" s="721" t="s">
        <v>356</v>
      </c>
      <c r="C378" s="706" t="s">
        <v>1070</v>
      </c>
      <c r="D378" s="708">
        <v>671</v>
      </c>
      <c r="E378" s="693" t="s">
        <v>681</v>
      </c>
    </row>
    <row r="379" spans="1:5" ht="12.75">
      <c r="A379" s="706">
        <v>7131900981</v>
      </c>
      <c r="B379" s="721" t="s">
        <v>357</v>
      </c>
      <c r="C379" s="706" t="s">
        <v>1070</v>
      </c>
      <c r="D379" s="708">
        <v>672</v>
      </c>
      <c r="E379" s="693" t="s">
        <v>682</v>
      </c>
    </row>
    <row r="380" spans="1:5" ht="12.75">
      <c r="A380" s="715">
        <v>7131910653</v>
      </c>
      <c r="B380" s="713" t="s">
        <v>358</v>
      </c>
      <c r="C380" s="710" t="s">
        <v>1130</v>
      </c>
      <c r="D380" s="714">
        <v>44</v>
      </c>
      <c r="E380" s="693" t="s">
        <v>683</v>
      </c>
    </row>
    <row r="381" spans="1:5" ht="15" customHeight="1">
      <c r="A381" s="715">
        <v>7131910654</v>
      </c>
      <c r="B381" s="713" t="s">
        <v>359</v>
      </c>
      <c r="C381" s="710" t="s">
        <v>1130</v>
      </c>
      <c r="D381" s="714">
        <v>87</v>
      </c>
      <c r="E381" s="693" t="s">
        <v>684</v>
      </c>
    </row>
    <row r="382" spans="1:5" ht="18.75" customHeight="1">
      <c r="A382" s="717">
        <v>7131910655</v>
      </c>
      <c r="B382" s="713" t="s">
        <v>1174</v>
      </c>
      <c r="C382" s="710" t="s">
        <v>1130</v>
      </c>
      <c r="D382" s="714">
        <v>25</v>
      </c>
      <c r="E382" s="693" t="s">
        <v>1421</v>
      </c>
    </row>
    <row r="383" spans="1:5" ht="12.75">
      <c r="A383" s="715">
        <v>7131910656</v>
      </c>
      <c r="B383" s="713" t="s">
        <v>1175</v>
      </c>
      <c r="C383" s="710" t="s">
        <v>1130</v>
      </c>
      <c r="D383" s="714">
        <v>269</v>
      </c>
      <c r="E383" s="693" t="s">
        <v>1422</v>
      </c>
    </row>
    <row r="384" spans="1:5" ht="12.75">
      <c r="A384" s="715">
        <v>7131910657</v>
      </c>
      <c r="B384" s="713" t="s">
        <v>1176</v>
      </c>
      <c r="C384" s="710" t="s">
        <v>1130</v>
      </c>
      <c r="D384" s="714">
        <v>534</v>
      </c>
      <c r="E384" s="693" t="s">
        <v>1423</v>
      </c>
    </row>
    <row r="385" spans="1:5" ht="12.75">
      <c r="A385" s="715">
        <v>7131910658</v>
      </c>
      <c r="B385" s="713" t="s">
        <v>1177</v>
      </c>
      <c r="C385" s="710" t="s">
        <v>1130</v>
      </c>
      <c r="D385" s="714">
        <v>964</v>
      </c>
      <c r="E385" s="693" t="s">
        <v>1424</v>
      </c>
    </row>
    <row r="386" spans="1:5" ht="15" customHeight="1">
      <c r="A386" s="706">
        <v>7131920112</v>
      </c>
      <c r="B386" s="716" t="s">
        <v>2099</v>
      </c>
      <c r="C386" s="706" t="s">
        <v>1130</v>
      </c>
      <c r="D386" s="708">
        <v>248028</v>
      </c>
      <c r="E386" s="274" t="s">
        <v>1425</v>
      </c>
    </row>
    <row r="387" spans="1:5" ht="12.75">
      <c r="A387" s="715">
        <v>7131920253</v>
      </c>
      <c r="B387" s="713" t="s">
        <v>1178</v>
      </c>
      <c r="C387" s="710" t="s">
        <v>1130</v>
      </c>
      <c r="D387" s="714">
        <v>681</v>
      </c>
      <c r="E387" s="693" t="s">
        <v>1426</v>
      </c>
    </row>
    <row r="388" spans="1:18" ht="15" customHeight="1">
      <c r="A388" s="715">
        <v>7131920254</v>
      </c>
      <c r="B388" s="713" t="s">
        <v>1179</v>
      </c>
      <c r="C388" s="710" t="s">
        <v>1130</v>
      </c>
      <c r="D388" s="714">
        <v>1634</v>
      </c>
      <c r="E388" s="693" t="s">
        <v>1427</v>
      </c>
      <c r="R388" s="2">
        <f>(13550-9794.56)/9794.56*100</f>
        <v>38.34210010454784</v>
      </c>
    </row>
    <row r="389" spans="1:18" ht="14.25" customHeight="1">
      <c r="A389" s="715">
        <v>7131920256</v>
      </c>
      <c r="B389" s="713" t="s">
        <v>1180</v>
      </c>
      <c r="C389" s="710" t="s">
        <v>1130</v>
      </c>
      <c r="D389" s="714">
        <v>3161</v>
      </c>
      <c r="E389" s="693" t="s">
        <v>1428</v>
      </c>
      <c r="R389" s="2">
        <f>(20500-15293.6)/15293.6*100</f>
        <v>34.04299837840665</v>
      </c>
    </row>
    <row r="390" spans="1:18" ht="14.25" customHeight="1">
      <c r="A390" s="715">
        <v>7131920258</v>
      </c>
      <c r="B390" s="713" t="s">
        <v>1181</v>
      </c>
      <c r="C390" s="710" t="s">
        <v>1130</v>
      </c>
      <c r="D390" s="714">
        <v>4438</v>
      </c>
      <c r="E390" s="693" t="s">
        <v>1429</v>
      </c>
      <c r="R390" s="2">
        <f>(33650-24258.16)/24258.16*100</f>
        <v>38.71620930853783</v>
      </c>
    </row>
    <row r="391" spans="1:18" ht="15.75" customHeight="1">
      <c r="A391" s="715">
        <v>7131920259</v>
      </c>
      <c r="B391" s="713" t="s">
        <v>1182</v>
      </c>
      <c r="C391" s="710" t="s">
        <v>1130</v>
      </c>
      <c r="D391" s="714">
        <v>6021</v>
      </c>
      <c r="E391" s="693" t="s">
        <v>1430</v>
      </c>
      <c r="R391" s="2">
        <f>(51000-30258)/30258*100</f>
        <v>68.55046599246481</v>
      </c>
    </row>
    <row r="392" spans="1:18" ht="12.75" customHeight="1">
      <c r="A392" s="715">
        <v>7131920260</v>
      </c>
      <c r="B392" s="713" t="s">
        <v>1183</v>
      </c>
      <c r="C392" s="710" t="s">
        <v>1130</v>
      </c>
      <c r="D392" s="714">
        <v>9095</v>
      </c>
      <c r="E392" s="693" t="s">
        <v>1431</v>
      </c>
      <c r="R392" s="2">
        <f>(67000-44299.43)/44299.43*100</f>
        <v>51.24348101092948</v>
      </c>
    </row>
    <row r="393" spans="1:6" ht="18" hidden="1">
      <c r="A393" s="1215">
        <v>7131920767</v>
      </c>
      <c r="B393" s="1200" t="s">
        <v>1015</v>
      </c>
      <c r="C393" s="1199" t="s">
        <v>1023</v>
      </c>
      <c r="D393" s="1207" t="s">
        <v>122</v>
      </c>
      <c r="E393" s="1202" t="s">
        <v>1432</v>
      </c>
      <c r="F393" s="887"/>
    </row>
    <row r="394" spans="1:5" ht="12.75" customHeight="1">
      <c r="A394" s="717">
        <v>7131930109</v>
      </c>
      <c r="B394" s="713" t="s">
        <v>781</v>
      </c>
      <c r="C394" s="710" t="s">
        <v>1130</v>
      </c>
      <c r="D394" s="714">
        <v>40392</v>
      </c>
      <c r="E394" s="693" t="s">
        <v>1433</v>
      </c>
    </row>
    <row r="395" spans="1:5" ht="12.75">
      <c r="A395" s="715">
        <v>7131930221</v>
      </c>
      <c r="B395" s="713" t="s">
        <v>1184</v>
      </c>
      <c r="C395" s="710" t="s">
        <v>1130</v>
      </c>
      <c r="D395" s="714">
        <v>7750</v>
      </c>
      <c r="E395" s="693" t="s">
        <v>850</v>
      </c>
    </row>
    <row r="396" spans="1:5" ht="12.75">
      <c r="A396" s="706">
        <v>7131930221</v>
      </c>
      <c r="B396" s="705" t="s">
        <v>1275</v>
      </c>
      <c r="C396" s="706" t="s">
        <v>1022</v>
      </c>
      <c r="D396" s="708">
        <v>12911</v>
      </c>
      <c r="E396" s="693" t="s">
        <v>850</v>
      </c>
    </row>
    <row r="397" spans="1:5" ht="12.75">
      <c r="A397" s="715">
        <v>7131930321</v>
      </c>
      <c r="B397" s="713" t="s">
        <v>1185</v>
      </c>
      <c r="C397" s="710" t="s">
        <v>1130</v>
      </c>
      <c r="D397" s="714">
        <v>18624</v>
      </c>
      <c r="E397" s="693" t="s">
        <v>851</v>
      </c>
    </row>
    <row r="398" spans="1:5" ht="12.75">
      <c r="A398" s="715">
        <v>7131930412</v>
      </c>
      <c r="B398" s="713" t="s">
        <v>1186</v>
      </c>
      <c r="C398" s="710" t="s">
        <v>1130</v>
      </c>
      <c r="D398" s="714">
        <v>1199</v>
      </c>
      <c r="E398" s="693" t="s">
        <v>852</v>
      </c>
    </row>
    <row r="399" spans="1:5" ht="12.75">
      <c r="A399" s="715">
        <v>7131930415</v>
      </c>
      <c r="B399" s="713" t="s">
        <v>1187</v>
      </c>
      <c r="C399" s="710" t="s">
        <v>1130</v>
      </c>
      <c r="D399" s="714">
        <v>2918</v>
      </c>
      <c r="E399" s="693" t="s">
        <v>853</v>
      </c>
    </row>
    <row r="400" spans="1:5" ht="12.75">
      <c r="A400" s="715">
        <v>7131930663</v>
      </c>
      <c r="B400" s="713" t="s">
        <v>780</v>
      </c>
      <c r="C400" s="710" t="s">
        <v>1130</v>
      </c>
      <c r="D400" s="714">
        <v>20680</v>
      </c>
      <c r="E400" s="693" t="s">
        <v>854</v>
      </c>
    </row>
    <row r="401" spans="1:5" ht="25.5">
      <c r="A401" s="715">
        <v>7131930752</v>
      </c>
      <c r="B401" s="713" t="s">
        <v>195</v>
      </c>
      <c r="C401" s="710" t="s">
        <v>1130</v>
      </c>
      <c r="D401" s="714">
        <v>35789</v>
      </c>
      <c r="E401" s="693" t="s">
        <v>855</v>
      </c>
    </row>
    <row r="402" spans="1:5" ht="12.75">
      <c r="A402" s="715">
        <v>7131940602</v>
      </c>
      <c r="B402" s="713" t="s">
        <v>1188</v>
      </c>
      <c r="C402" s="710" t="s">
        <v>1130</v>
      </c>
      <c r="D402" s="714">
        <v>2387</v>
      </c>
      <c r="E402" s="289" t="s">
        <v>856</v>
      </c>
    </row>
    <row r="403" spans="1:5" ht="12.75">
      <c r="A403" s="715">
        <v>7131940610</v>
      </c>
      <c r="B403" s="713" t="s">
        <v>1189</v>
      </c>
      <c r="C403" s="710" t="s">
        <v>1130</v>
      </c>
      <c r="D403" s="714">
        <v>22680</v>
      </c>
      <c r="E403" s="289" t="s">
        <v>857</v>
      </c>
    </row>
    <row r="404" spans="1:5" ht="12.75">
      <c r="A404" s="715">
        <v>7131940612</v>
      </c>
      <c r="B404" s="713" t="s">
        <v>1190</v>
      </c>
      <c r="C404" s="710" t="s">
        <v>1130</v>
      </c>
      <c r="D404" s="714">
        <v>22680</v>
      </c>
      <c r="E404" s="289"/>
    </row>
    <row r="405" spans="1:5" ht="25.5">
      <c r="A405" s="715">
        <v>7131941762</v>
      </c>
      <c r="B405" s="734" t="s">
        <v>2100</v>
      </c>
      <c r="C405" s="710" t="s">
        <v>1130</v>
      </c>
      <c r="D405" s="714">
        <v>110737</v>
      </c>
      <c r="E405" s="289" t="s">
        <v>858</v>
      </c>
    </row>
    <row r="406" spans="1:5" ht="25.5">
      <c r="A406" s="715">
        <v>7131943380</v>
      </c>
      <c r="B406" s="734" t="s">
        <v>775</v>
      </c>
      <c r="C406" s="710" t="s">
        <v>1130</v>
      </c>
      <c r="D406" s="714">
        <v>226584</v>
      </c>
      <c r="E406" s="289" t="s">
        <v>859</v>
      </c>
    </row>
    <row r="407" spans="1:6" ht="18" hidden="1">
      <c r="A407" s="1201">
        <v>7131950009</v>
      </c>
      <c r="B407" s="1200" t="s">
        <v>1981</v>
      </c>
      <c r="C407" s="1201" t="s">
        <v>1130</v>
      </c>
      <c r="D407" s="1207" t="s">
        <v>122</v>
      </c>
      <c r="E407" s="1214" t="s">
        <v>860</v>
      </c>
      <c r="F407" s="887"/>
    </row>
    <row r="408" spans="1:5" ht="41.25" customHeight="1">
      <c r="A408" s="710">
        <v>7131950010</v>
      </c>
      <c r="B408" s="713" t="s">
        <v>1501</v>
      </c>
      <c r="C408" s="710" t="s">
        <v>1130</v>
      </c>
      <c r="D408" s="714">
        <v>1147</v>
      </c>
      <c r="E408" s="289" t="s">
        <v>861</v>
      </c>
    </row>
    <row r="409" spans="1:6" ht="19.5" customHeight="1" hidden="1">
      <c r="A409" s="1201">
        <v>7131950011</v>
      </c>
      <c r="B409" s="1200" t="s">
        <v>604</v>
      </c>
      <c r="C409" s="1201" t="s">
        <v>1130</v>
      </c>
      <c r="D409" s="1207" t="s">
        <v>122</v>
      </c>
      <c r="E409" s="1214" t="s">
        <v>862</v>
      </c>
      <c r="F409" s="887"/>
    </row>
    <row r="410" spans="1:5" ht="38.25">
      <c r="A410" s="710">
        <v>7131950012</v>
      </c>
      <c r="B410" s="713" t="s">
        <v>980</v>
      </c>
      <c r="C410" s="710" t="s">
        <v>1130</v>
      </c>
      <c r="D410" s="714">
        <v>1355</v>
      </c>
      <c r="E410" s="289" t="s">
        <v>863</v>
      </c>
    </row>
    <row r="411" spans="1:6" ht="21.75" customHeight="1" hidden="1">
      <c r="A411" s="1201">
        <v>7131950013</v>
      </c>
      <c r="B411" s="1200" t="s">
        <v>605</v>
      </c>
      <c r="C411" s="1201" t="s">
        <v>1130</v>
      </c>
      <c r="D411" s="1207" t="s">
        <v>122</v>
      </c>
      <c r="E411" s="1214" t="s">
        <v>864</v>
      </c>
      <c r="F411" s="887"/>
    </row>
    <row r="412" spans="1:5" ht="42" customHeight="1">
      <c r="A412" s="717">
        <v>7131950015</v>
      </c>
      <c r="B412" s="713" t="s">
        <v>1681</v>
      </c>
      <c r="C412" s="710" t="s">
        <v>1130</v>
      </c>
      <c r="D412" s="714">
        <v>57208</v>
      </c>
      <c r="E412" s="289"/>
    </row>
    <row r="413" spans="1:5" ht="17.25" customHeight="1">
      <c r="A413" s="717">
        <v>7131950016</v>
      </c>
      <c r="B413" s="713" t="s">
        <v>779</v>
      </c>
      <c r="C413" s="710" t="s">
        <v>1130</v>
      </c>
      <c r="D413" s="714">
        <v>345600</v>
      </c>
      <c r="E413" s="289"/>
    </row>
    <row r="414" spans="1:5" ht="42" customHeight="1">
      <c r="A414" s="715">
        <v>7131950065</v>
      </c>
      <c r="B414" s="713" t="s">
        <v>1888</v>
      </c>
      <c r="C414" s="710" t="s">
        <v>1130</v>
      </c>
      <c r="D414" s="714">
        <v>13758</v>
      </c>
      <c r="E414" s="693" t="s">
        <v>865</v>
      </c>
    </row>
    <row r="415" spans="1:5" ht="40.5" customHeight="1">
      <c r="A415" s="710">
        <v>7131950105</v>
      </c>
      <c r="B415" s="713" t="s">
        <v>1889</v>
      </c>
      <c r="C415" s="710" t="s">
        <v>1130</v>
      </c>
      <c r="D415" s="714">
        <v>17198</v>
      </c>
      <c r="E415" s="693" t="s">
        <v>866</v>
      </c>
    </row>
    <row r="416" spans="1:5" ht="29.25" customHeight="1">
      <c r="A416" s="715">
        <v>7131950200</v>
      </c>
      <c r="B416" s="713" t="s">
        <v>1890</v>
      </c>
      <c r="C416" s="710" t="s">
        <v>1130</v>
      </c>
      <c r="D416" s="714">
        <v>34396</v>
      </c>
      <c r="E416" s="693" t="s">
        <v>867</v>
      </c>
    </row>
    <row r="417" spans="1:5" ht="29.25" customHeight="1">
      <c r="A417" s="715">
        <v>7131950207</v>
      </c>
      <c r="B417" s="713" t="s">
        <v>1891</v>
      </c>
      <c r="C417" s="710" t="s">
        <v>1130</v>
      </c>
      <c r="D417" s="714">
        <v>45861</v>
      </c>
      <c r="E417" s="693" t="s">
        <v>868</v>
      </c>
    </row>
    <row r="418" spans="1:5" ht="29.25" customHeight="1">
      <c r="A418" s="710">
        <v>7131960006</v>
      </c>
      <c r="B418" s="734" t="s">
        <v>778</v>
      </c>
      <c r="C418" s="710" t="s">
        <v>1130</v>
      </c>
      <c r="D418" s="714">
        <v>26078</v>
      </c>
      <c r="E418" s="693" t="s">
        <v>869</v>
      </c>
    </row>
    <row r="419" spans="1:5" ht="25.5">
      <c r="A419" s="710">
        <v>7131960007</v>
      </c>
      <c r="B419" s="734" t="s">
        <v>777</v>
      </c>
      <c r="C419" s="710" t="s">
        <v>1130</v>
      </c>
      <c r="D419" s="714">
        <v>28850</v>
      </c>
      <c r="E419" s="693" t="s">
        <v>870</v>
      </c>
    </row>
    <row r="420" spans="1:5" ht="12.75">
      <c r="A420" s="715">
        <v>7131960008</v>
      </c>
      <c r="B420" s="713" t="s">
        <v>2101</v>
      </c>
      <c r="C420" s="710" t="s">
        <v>1130</v>
      </c>
      <c r="D420" s="714">
        <v>26331</v>
      </c>
      <c r="E420" s="693" t="s">
        <v>871</v>
      </c>
    </row>
    <row r="421" spans="1:5" ht="12.75">
      <c r="A421" s="710">
        <v>7131960009</v>
      </c>
      <c r="B421" s="713" t="s">
        <v>2102</v>
      </c>
      <c r="C421" s="710" t="s">
        <v>1130</v>
      </c>
      <c r="D421" s="714">
        <v>26995</v>
      </c>
      <c r="E421" s="693" t="s">
        <v>872</v>
      </c>
    </row>
    <row r="422" spans="1:5" ht="18.75" customHeight="1">
      <c r="A422" s="710">
        <v>7131960520</v>
      </c>
      <c r="B422" s="713" t="s">
        <v>2103</v>
      </c>
      <c r="C422" s="710" t="s">
        <v>1130</v>
      </c>
      <c r="D422" s="714">
        <v>39700</v>
      </c>
      <c r="E422" s="693" t="s">
        <v>873</v>
      </c>
    </row>
    <row r="423" spans="1:5" ht="28.5" customHeight="1">
      <c r="A423" s="710">
        <v>7131960522</v>
      </c>
      <c r="B423" s="713" t="s">
        <v>2104</v>
      </c>
      <c r="C423" s="710" t="s">
        <v>1130</v>
      </c>
      <c r="D423" s="714">
        <v>39815</v>
      </c>
      <c r="E423" s="693" t="s">
        <v>874</v>
      </c>
    </row>
    <row r="424" spans="1:5" ht="28.5" customHeight="1">
      <c r="A424" s="710">
        <v>7131960524</v>
      </c>
      <c r="B424" s="713" t="s">
        <v>776</v>
      </c>
      <c r="C424" s="710" t="s">
        <v>1130</v>
      </c>
      <c r="D424" s="714">
        <v>39815</v>
      </c>
      <c r="E424" s="693" t="s">
        <v>875</v>
      </c>
    </row>
    <row r="425" spans="1:5" ht="44.25" customHeight="1">
      <c r="A425" s="719">
        <v>7132002234</v>
      </c>
      <c r="B425" s="718" t="s">
        <v>484</v>
      </c>
      <c r="C425" s="702" t="s">
        <v>1680</v>
      </c>
      <c r="D425" s="722">
        <v>184</v>
      </c>
      <c r="E425" s="693"/>
    </row>
    <row r="426" spans="1:5" ht="29.25" customHeight="1">
      <c r="A426" s="719">
        <v>7132004003</v>
      </c>
      <c r="B426" s="718" t="s">
        <v>473</v>
      </c>
      <c r="C426" s="702" t="s">
        <v>1680</v>
      </c>
      <c r="D426" s="722">
        <v>119</v>
      </c>
      <c r="E426" s="693"/>
    </row>
    <row r="427" spans="1:5" ht="15" customHeight="1">
      <c r="A427" s="719">
        <v>7132004004</v>
      </c>
      <c r="B427" s="718" t="s">
        <v>265</v>
      </c>
      <c r="C427" s="702" t="s">
        <v>1680</v>
      </c>
      <c r="D427" s="722">
        <v>10</v>
      </c>
      <c r="E427" s="693"/>
    </row>
    <row r="428" spans="1:5" ht="14.25" customHeight="1">
      <c r="A428" s="733">
        <v>7132013331</v>
      </c>
      <c r="B428" s="718" t="s">
        <v>476</v>
      </c>
      <c r="C428" s="702" t="s">
        <v>1680</v>
      </c>
      <c r="D428" s="714">
        <v>515</v>
      </c>
      <c r="E428" s="693" t="s">
        <v>876</v>
      </c>
    </row>
    <row r="429" spans="1:5" ht="16.5" customHeight="1">
      <c r="A429" s="719">
        <v>7132014014</v>
      </c>
      <c r="B429" s="718" t="s">
        <v>1731</v>
      </c>
      <c r="C429" s="702" t="s">
        <v>1680</v>
      </c>
      <c r="D429" s="722">
        <v>2700</v>
      </c>
      <c r="E429" s="693"/>
    </row>
    <row r="430" spans="1:5" ht="20.25" customHeight="1">
      <c r="A430" s="719">
        <v>7132028159</v>
      </c>
      <c r="B430" s="718" t="s">
        <v>482</v>
      </c>
      <c r="C430" s="702" t="s">
        <v>1680</v>
      </c>
      <c r="D430" s="722">
        <v>989</v>
      </c>
      <c r="E430" s="693"/>
    </row>
    <row r="431" spans="1:5" ht="20.25" customHeight="1">
      <c r="A431" s="719">
        <v>7132028160</v>
      </c>
      <c r="B431" s="718" t="s">
        <v>483</v>
      </c>
      <c r="C431" s="702" t="s">
        <v>1680</v>
      </c>
      <c r="D431" s="722">
        <v>306</v>
      </c>
      <c r="E431" s="693"/>
    </row>
    <row r="432" spans="1:5" ht="17.25" customHeight="1">
      <c r="A432" s="733">
        <v>7132061858</v>
      </c>
      <c r="B432" s="718" t="s">
        <v>1493</v>
      </c>
      <c r="C432" s="702" t="s">
        <v>1680</v>
      </c>
      <c r="D432" s="722">
        <v>204</v>
      </c>
      <c r="E432" s="693" t="s">
        <v>877</v>
      </c>
    </row>
    <row r="433" spans="1:5" ht="20.25" customHeight="1">
      <c r="A433" s="719">
        <v>7132072006</v>
      </c>
      <c r="B433" s="718" t="s">
        <v>479</v>
      </c>
      <c r="C433" s="702" t="s">
        <v>1680</v>
      </c>
      <c r="D433" s="722">
        <v>66</v>
      </c>
      <c r="E433" s="693" t="s">
        <v>878</v>
      </c>
    </row>
    <row r="434" spans="1:5" ht="20.25" customHeight="1">
      <c r="A434" s="719">
        <v>7132072007</v>
      </c>
      <c r="B434" s="718" t="s">
        <v>480</v>
      </c>
      <c r="C434" s="702" t="s">
        <v>1680</v>
      </c>
      <c r="D434" s="722">
        <v>62</v>
      </c>
      <c r="E434" s="693" t="s">
        <v>879</v>
      </c>
    </row>
    <row r="435" spans="1:5" ht="18.75" customHeight="1">
      <c r="A435" s="719">
        <v>7132072008</v>
      </c>
      <c r="B435" s="718" t="s">
        <v>481</v>
      </c>
      <c r="C435" s="702" t="s">
        <v>1680</v>
      </c>
      <c r="D435" s="722">
        <v>57</v>
      </c>
      <c r="E435" s="693" t="s">
        <v>1478</v>
      </c>
    </row>
    <row r="436" spans="1:5" ht="16.5" customHeight="1">
      <c r="A436" s="733">
        <v>7132072522</v>
      </c>
      <c r="B436" s="718" t="s">
        <v>478</v>
      </c>
      <c r="C436" s="702" t="s">
        <v>1680</v>
      </c>
      <c r="D436" s="722">
        <v>743</v>
      </c>
      <c r="E436" s="693" t="s">
        <v>1479</v>
      </c>
    </row>
    <row r="437" spans="1:5" ht="42.75" customHeight="1">
      <c r="A437" s="719">
        <v>7132074032</v>
      </c>
      <c r="B437" s="718" t="s">
        <v>468</v>
      </c>
      <c r="C437" s="702" t="s">
        <v>426</v>
      </c>
      <c r="D437" s="722">
        <v>1430</v>
      </c>
      <c r="E437" s="693" t="s">
        <v>1480</v>
      </c>
    </row>
    <row r="438" spans="1:5" ht="15.75" customHeight="1">
      <c r="A438" s="719">
        <v>7132074033</v>
      </c>
      <c r="B438" s="718" t="s">
        <v>469</v>
      </c>
      <c r="C438" s="702" t="s">
        <v>426</v>
      </c>
      <c r="D438" s="722">
        <v>591</v>
      </c>
      <c r="E438" s="693"/>
    </row>
    <row r="439" spans="1:5" ht="42.75" customHeight="1">
      <c r="A439" s="719">
        <v>7132074034</v>
      </c>
      <c r="B439" s="718" t="s">
        <v>472</v>
      </c>
      <c r="C439" s="702" t="s">
        <v>426</v>
      </c>
      <c r="D439" s="722">
        <v>676</v>
      </c>
      <c r="E439" s="693" t="s">
        <v>1481</v>
      </c>
    </row>
    <row r="440" spans="1:5" ht="27.75" customHeight="1">
      <c r="A440" s="719">
        <v>7132074035</v>
      </c>
      <c r="B440" s="718" t="s">
        <v>271</v>
      </c>
      <c r="C440" s="702" t="s">
        <v>1680</v>
      </c>
      <c r="D440" s="722">
        <v>439</v>
      </c>
      <c r="E440" s="693"/>
    </row>
    <row r="441" spans="1:5" ht="28.5" customHeight="1">
      <c r="A441" s="719">
        <v>7132074036</v>
      </c>
      <c r="B441" s="718" t="s">
        <v>485</v>
      </c>
      <c r="C441" s="702" t="s">
        <v>426</v>
      </c>
      <c r="D441" s="722">
        <v>1303</v>
      </c>
      <c r="E441" s="693" t="s">
        <v>1482</v>
      </c>
    </row>
    <row r="442" spans="1:5" ht="16.5" customHeight="1">
      <c r="A442" s="719">
        <v>7132088614</v>
      </c>
      <c r="B442" s="718" t="s">
        <v>470</v>
      </c>
      <c r="C442" s="702" t="s">
        <v>1680</v>
      </c>
      <c r="D442" s="722">
        <v>1086</v>
      </c>
      <c r="E442" s="693"/>
    </row>
    <row r="443" spans="1:5" ht="15.75" customHeight="1">
      <c r="A443" s="719">
        <v>7132088615</v>
      </c>
      <c r="B443" s="718" t="s">
        <v>471</v>
      </c>
      <c r="C443" s="702" t="s">
        <v>1680</v>
      </c>
      <c r="D443" s="722">
        <v>596</v>
      </c>
      <c r="E443" s="693"/>
    </row>
    <row r="444" spans="1:5" ht="40.5" customHeight="1">
      <c r="A444" s="717">
        <v>7132200014</v>
      </c>
      <c r="B444" s="713" t="s">
        <v>200</v>
      </c>
      <c r="C444" s="710" t="s">
        <v>1130</v>
      </c>
      <c r="D444" s="727">
        <v>135369</v>
      </c>
      <c r="E444" s="693" t="s">
        <v>1483</v>
      </c>
    </row>
    <row r="445" spans="1:5" ht="19.5" customHeight="1">
      <c r="A445" s="710">
        <v>7132200812</v>
      </c>
      <c r="B445" s="713" t="s">
        <v>196</v>
      </c>
      <c r="C445" s="710" t="s">
        <v>1130</v>
      </c>
      <c r="D445" s="714">
        <v>1628</v>
      </c>
      <c r="E445" s="693" t="s">
        <v>1484</v>
      </c>
    </row>
    <row r="446" spans="1:5" ht="19.5" customHeight="1">
      <c r="A446" s="710">
        <v>7132200813</v>
      </c>
      <c r="B446" s="705" t="s">
        <v>197</v>
      </c>
      <c r="C446" s="710" t="s">
        <v>1130</v>
      </c>
      <c r="D446" s="714">
        <v>3254</v>
      </c>
      <c r="E446" s="693" t="s">
        <v>1484</v>
      </c>
    </row>
    <row r="447" spans="1:5" ht="19.5" customHeight="1">
      <c r="A447" s="710">
        <v>7132200814</v>
      </c>
      <c r="B447" s="705" t="s">
        <v>198</v>
      </c>
      <c r="C447" s="710" t="s">
        <v>1130</v>
      </c>
      <c r="D447" s="714">
        <v>3910</v>
      </c>
      <c r="E447" s="693" t="s">
        <v>1484</v>
      </c>
    </row>
    <row r="448" spans="1:5" ht="19.5" customHeight="1">
      <c r="A448" s="710">
        <v>7132200815</v>
      </c>
      <c r="B448" s="705" t="s">
        <v>199</v>
      </c>
      <c r="C448" s="710" t="s">
        <v>1130</v>
      </c>
      <c r="D448" s="714">
        <v>6490</v>
      </c>
      <c r="E448" s="693" t="s">
        <v>1484</v>
      </c>
    </row>
    <row r="449" spans="1:5" ht="119.25" customHeight="1">
      <c r="A449" s="715">
        <v>7132200826</v>
      </c>
      <c r="B449" s="713" t="s">
        <v>201</v>
      </c>
      <c r="C449" s="710" t="s">
        <v>1130</v>
      </c>
      <c r="D449" s="727">
        <v>179001</v>
      </c>
      <c r="E449" s="693" t="s">
        <v>1485</v>
      </c>
    </row>
    <row r="450" spans="1:7" ht="18" customHeight="1">
      <c r="A450" s="702">
        <v>7132210007</v>
      </c>
      <c r="B450" s="713" t="s">
        <v>749</v>
      </c>
      <c r="C450" s="710" t="s">
        <v>1130</v>
      </c>
      <c r="D450" s="722">
        <v>44836</v>
      </c>
      <c r="E450" s="693" t="s">
        <v>1486</v>
      </c>
      <c r="F450" s="214"/>
      <c r="G450" s="214"/>
    </row>
    <row r="451" spans="1:7" ht="15.75" customHeight="1">
      <c r="A451" s="702">
        <v>7132210008</v>
      </c>
      <c r="B451" s="713" t="s">
        <v>750</v>
      </c>
      <c r="C451" s="710" t="s">
        <v>1130</v>
      </c>
      <c r="D451" s="722">
        <v>54268</v>
      </c>
      <c r="E451" s="693" t="s">
        <v>1487</v>
      </c>
      <c r="F451" s="214"/>
      <c r="G451" s="214"/>
    </row>
    <row r="452" spans="1:7" ht="18" customHeight="1">
      <c r="A452" s="702">
        <v>7132210009</v>
      </c>
      <c r="B452" s="713" t="s">
        <v>751</v>
      </c>
      <c r="C452" s="710" t="s">
        <v>1130</v>
      </c>
      <c r="D452" s="714">
        <v>88254</v>
      </c>
      <c r="E452" s="693" t="s">
        <v>1488</v>
      </c>
      <c r="F452" s="197"/>
      <c r="G452" s="197"/>
    </row>
    <row r="453" spans="1:5" ht="19.5" customHeight="1" hidden="1">
      <c r="A453" s="1199">
        <v>7132210009</v>
      </c>
      <c r="B453" s="1200" t="s">
        <v>751</v>
      </c>
      <c r="C453" s="1201" t="s">
        <v>1130</v>
      </c>
      <c r="D453" s="1204" t="s">
        <v>1276</v>
      </c>
      <c r="E453" s="1202" t="s">
        <v>1488</v>
      </c>
    </row>
    <row r="454" spans="1:7" ht="16.5" customHeight="1">
      <c r="A454" s="702">
        <v>7132210010</v>
      </c>
      <c r="B454" s="713" t="s">
        <v>752</v>
      </c>
      <c r="C454" s="710" t="s">
        <v>1130</v>
      </c>
      <c r="D454" s="722">
        <v>119054</v>
      </c>
      <c r="E454" s="693" t="s">
        <v>1489</v>
      </c>
      <c r="F454" s="197"/>
      <c r="G454" s="197"/>
    </row>
    <row r="455" spans="1:7" ht="18" customHeight="1">
      <c r="A455" s="702">
        <v>7132210011</v>
      </c>
      <c r="B455" s="713" t="s">
        <v>753</v>
      </c>
      <c r="C455" s="710" t="s">
        <v>1130</v>
      </c>
      <c r="D455" s="722">
        <v>220748</v>
      </c>
      <c r="E455" s="693" t="s">
        <v>1490</v>
      </c>
      <c r="F455" s="197"/>
      <c r="G455" s="197"/>
    </row>
    <row r="456" spans="1:7" ht="16.5" customHeight="1">
      <c r="A456" s="702">
        <v>7132210012</v>
      </c>
      <c r="B456" s="713" t="s">
        <v>764</v>
      </c>
      <c r="C456" s="710" t="s">
        <v>1130</v>
      </c>
      <c r="D456" s="722">
        <v>423239</v>
      </c>
      <c r="E456" s="693" t="s">
        <v>1491</v>
      </c>
      <c r="F456" s="197"/>
      <c r="G456" s="197"/>
    </row>
    <row r="457" spans="1:7" ht="18" customHeight="1">
      <c r="A457" s="710">
        <v>7132210077</v>
      </c>
      <c r="B457" s="713" t="s">
        <v>766</v>
      </c>
      <c r="C457" s="710" t="s">
        <v>1130</v>
      </c>
      <c r="D457" s="722">
        <v>25351</v>
      </c>
      <c r="E457" s="693" t="s">
        <v>1492</v>
      </c>
      <c r="F457" s="197"/>
      <c r="G457" s="197"/>
    </row>
    <row r="458" spans="1:7" ht="18" customHeight="1">
      <c r="A458" s="710">
        <v>7132210078</v>
      </c>
      <c r="B458" s="713" t="s">
        <v>767</v>
      </c>
      <c r="C458" s="710" t="s">
        <v>1130</v>
      </c>
      <c r="D458" s="722">
        <v>36194</v>
      </c>
      <c r="E458" s="693" t="s">
        <v>1366</v>
      </c>
      <c r="F458" s="197"/>
      <c r="G458" s="197"/>
    </row>
    <row r="459" spans="1:7" s="1209" customFormat="1" ht="15" customHeight="1" hidden="1">
      <c r="A459" s="1199">
        <v>7132210079</v>
      </c>
      <c r="B459" s="1200" t="s">
        <v>754</v>
      </c>
      <c r="C459" s="1201" t="s">
        <v>1130</v>
      </c>
      <c r="D459" s="1204">
        <v>52823</v>
      </c>
      <c r="E459" s="1202" t="s">
        <v>1367</v>
      </c>
      <c r="F459" s="1207"/>
      <c r="G459" s="1208"/>
    </row>
    <row r="460" spans="1:6" s="1209" customFormat="1" ht="25.5" hidden="1">
      <c r="A460" s="1199">
        <v>7132210107</v>
      </c>
      <c r="B460" s="1210" t="s">
        <v>204</v>
      </c>
      <c r="C460" s="1199" t="s">
        <v>1061</v>
      </c>
      <c r="D460" s="1205">
        <v>63182</v>
      </c>
      <c r="E460" s="1202" t="s">
        <v>1368</v>
      </c>
      <c r="F460" s="1207"/>
    </row>
    <row r="461" spans="1:7" s="1209" customFormat="1" ht="14.25" hidden="1">
      <c r="A461" s="1211">
        <v>7132210108</v>
      </c>
      <c r="B461" s="1212" t="s">
        <v>755</v>
      </c>
      <c r="C461" s="1213" t="s">
        <v>1130</v>
      </c>
      <c r="D461" s="1206">
        <v>47679</v>
      </c>
      <c r="E461" s="1214" t="s">
        <v>1369</v>
      </c>
      <c r="F461" s="1207"/>
      <c r="G461" s="1208"/>
    </row>
    <row r="462" spans="1:7" s="1209" customFormat="1" ht="14.25" hidden="1">
      <c r="A462" s="1211">
        <v>7132210109</v>
      </c>
      <c r="B462" s="1212" t="s">
        <v>759</v>
      </c>
      <c r="C462" s="1213" t="s">
        <v>1130</v>
      </c>
      <c r="D462" s="1206">
        <v>41834</v>
      </c>
      <c r="E462" s="1214" t="s">
        <v>1370</v>
      </c>
      <c r="F462" s="1207"/>
      <c r="G462" s="1208"/>
    </row>
    <row r="463" spans="1:7" s="1209" customFormat="1" ht="14.25" hidden="1">
      <c r="A463" s="1211">
        <v>7132210116</v>
      </c>
      <c r="B463" s="1212" t="s">
        <v>756</v>
      </c>
      <c r="C463" s="1213" t="s">
        <v>1130</v>
      </c>
      <c r="D463" s="1206">
        <v>82795</v>
      </c>
      <c r="E463" s="1214" t="s">
        <v>1371</v>
      </c>
      <c r="F463" s="1207"/>
      <c r="G463" s="1208"/>
    </row>
    <row r="464" spans="1:7" s="1209" customFormat="1" ht="14.25" hidden="1">
      <c r="A464" s="1211">
        <v>7132210117</v>
      </c>
      <c r="B464" s="1212" t="s">
        <v>757</v>
      </c>
      <c r="C464" s="1213" t="s">
        <v>1130</v>
      </c>
      <c r="D464" s="1206">
        <v>112713</v>
      </c>
      <c r="E464" s="1214" t="s">
        <v>1372</v>
      </c>
      <c r="F464" s="1207"/>
      <c r="G464" s="1208"/>
    </row>
    <row r="465" spans="1:7" s="1209" customFormat="1" ht="14.25" hidden="1">
      <c r="A465" s="1211">
        <v>7132210118</v>
      </c>
      <c r="B465" s="1212" t="s">
        <v>762</v>
      </c>
      <c r="C465" s="1213" t="s">
        <v>1130</v>
      </c>
      <c r="D465" s="1206">
        <v>237089</v>
      </c>
      <c r="E465" s="1214" t="s">
        <v>1373</v>
      </c>
      <c r="F465" s="1207"/>
      <c r="G465" s="1208"/>
    </row>
    <row r="466" spans="1:7" s="1209" customFormat="1" ht="14.25" hidden="1">
      <c r="A466" s="1211">
        <v>7132210120</v>
      </c>
      <c r="B466" s="1212" t="s">
        <v>758</v>
      </c>
      <c r="C466" s="1213" t="s">
        <v>1130</v>
      </c>
      <c r="D466" s="1206">
        <v>204019</v>
      </c>
      <c r="E466" s="1214" t="s">
        <v>1374</v>
      </c>
      <c r="F466" s="1207"/>
      <c r="G466" s="1208"/>
    </row>
    <row r="467" spans="1:7" s="1209" customFormat="1" ht="14.25" hidden="1">
      <c r="A467" s="1211">
        <v>7132210125</v>
      </c>
      <c r="B467" s="1212" t="s">
        <v>763</v>
      </c>
      <c r="C467" s="1213" t="s">
        <v>1130</v>
      </c>
      <c r="D467" s="1206">
        <v>322632</v>
      </c>
      <c r="E467" s="1214" t="s">
        <v>1375</v>
      </c>
      <c r="F467" s="1207"/>
      <c r="G467" s="1208"/>
    </row>
    <row r="468" spans="1:7" ht="14.25">
      <c r="A468" s="704">
        <v>7132210127</v>
      </c>
      <c r="B468" s="705" t="s">
        <v>765</v>
      </c>
      <c r="C468" s="706" t="s">
        <v>1130</v>
      </c>
      <c r="D468" s="707">
        <v>538012</v>
      </c>
      <c r="E468" s="289" t="s">
        <v>1376</v>
      </c>
      <c r="F468" s="197"/>
      <c r="G468" s="197"/>
    </row>
    <row r="469" spans="1:7" ht="14.25">
      <c r="A469" s="706">
        <v>7132210215</v>
      </c>
      <c r="B469" s="705" t="s">
        <v>768</v>
      </c>
      <c r="C469" s="706" t="s">
        <v>1130</v>
      </c>
      <c r="D469" s="708">
        <v>146905</v>
      </c>
      <c r="E469" s="289" t="s">
        <v>1377</v>
      </c>
      <c r="F469" s="197"/>
      <c r="G469" s="197"/>
    </row>
    <row r="470" spans="1:7" ht="14.25" hidden="1">
      <c r="A470" s="1199">
        <v>7132210231</v>
      </c>
      <c r="B470" s="1200" t="s">
        <v>760</v>
      </c>
      <c r="C470" s="1201" t="s">
        <v>1130</v>
      </c>
      <c r="D470" s="1204">
        <v>69656</v>
      </c>
      <c r="E470" s="1202" t="s">
        <v>1378</v>
      </c>
      <c r="F470" s="1207"/>
      <c r="G470" s="197"/>
    </row>
    <row r="471" spans="1:7" ht="14.25" hidden="1">
      <c r="A471" s="1199">
        <v>7132210234</v>
      </c>
      <c r="B471" s="1200" t="s">
        <v>761</v>
      </c>
      <c r="C471" s="1201" t="s">
        <v>1130</v>
      </c>
      <c r="D471" s="1204">
        <v>87074</v>
      </c>
      <c r="E471" s="1202" t="s">
        <v>1379</v>
      </c>
      <c r="F471" s="1207"/>
      <c r="G471" s="197"/>
    </row>
    <row r="472" spans="1:5" ht="12.75">
      <c r="A472" s="715">
        <v>7132220091</v>
      </c>
      <c r="B472" s="713" t="s">
        <v>446</v>
      </c>
      <c r="C472" s="710" t="s">
        <v>1130</v>
      </c>
      <c r="D472" s="727">
        <v>841136</v>
      </c>
      <c r="E472" s="693" t="s">
        <v>1380</v>
      </c>
    </row>
    <row r="473" spans="1:5" ht="12.75">
      <c r="A473" s="715">
        <v>7132220095</v>
      </c>
      <c r="B473" s="713" t="s">
        <v>272</v>
      </c>
      <c r="C473" s="710" t="s">
        <v>1130</v>
      </c>
      <c r="D473" s="714">
        <v>2112952</v>
      </c>
      <c r="E473" s="693" t="s">
        <v>1381</v>
      </c>
    </row>
    <row r="474" spans="1:5" ht="16.5" customHeight="1">
      <c r="A474" s="715">
        <v>7132220097</v>
      </c>
      <c r="B474" s="713" t="s">
        <v>273</v>
      </c>
      <c r="C474" s="710" t="s">
        <v>1130</v>
      </c>
      <c r="D474" s="714">
        <v>3010759</v>
      </c>
      <c r="E474" s="693" t="s">
        <v>1382</v>
      </c>
    </row>
    <row r="475" spans="1:5" ht="25.5">
      <c r="A475" s="720">
        <v>7132230015</v>
      </c>
      <c r="B475" s="713" t="s">
        <v>274</v>
      </c>
      <c r="C475" s="710" t="s">
        <v>1130</v>
      </c>
      <c r="D475" s="714">
        <v>241090</v>
      </c>
      <c r="E475" s="693" t="s">
        <v>1383</v>
      </c>
    </row>
    <row r="476" spans="1:5" ht="12.75">
      <c r="A476" s="715">
        <v>7132230016</v>
      </c>
      <c r="B476" s="713" t="s">
        <v>275</v>
      </c>
      <c r="C476" s="710" t="s">
        <v>1130</v>
      </c>
      <c r="D476" s="714">
        <v>335</v>
      </c>
      <c r="E476" s="693" t="s">
        <v>1384</v>
      </c>
    </row>
    <row r="477" spans="1:5" ht="25.5">
      <c r="A477" s="720">
        <v>7132230017</v>
      </c>
      <c r="B477" s="713" t="s">
        <v>310</v>
      </c>
      <c r="C477" s="710" t="s">
        <v>1130</v>
      </c>
      <c r="D477" s="714">
        <v>222386</v>
      </c>
      <c r="E477" s="693" t="s">
        <v>1385</v>
      </c>
    </row>
    <row r="478" spans="1:5" ht="12.75" customHeight="1">
      <c r="A478" s="715">
        <v>7132230019</v>
      </c>
      <c r="B478" s="713" t="s">
        <v>276</v>
      </c>
      <c r="C478" s="710" t="s">
        <v>1130</v>
      </c>
      <c r="D478" s="714">
        <v>335</v>
      </c>
      <c r="E478" s="693" t="s">
        <v>1386</v>
      </c>
    </row>
    <row r="479" spans="1:5" ht="12.75">
      <c r="A479" s="715">
        <v>7132230021</v>
      </c>
      <c r="B479" s="713" t="s">
        <v>277</v>
      </c>
      <c r="C479" s="710" t="s">
        <v>1130</v>
      </c>
      <c r="D479" s="714">
        <v>268</v>
      </c>
      <c r="E479" s="693" t="s">
        <v>1387</v>
      </c>
    </row>
    <row r="480" spans="1:5" ht="12.75">
      <c r="A480" s="715">
        <v>7132230024</v>
      </c>
      <c r="B480" s="713" t="s">
        <v>278</v>
      </c>
      <c r="C480" s="710" t="s">
        <v>1130</v>
      </c>
      <c r="D480" s="714">
        <v>268</v>
      </c>
      <c r="E480" s="693" t="s">
        <v>1388</v>
      </c>
    </row>
    <row r="481" spans="1:5" ht="12.75">
      <c r="A481" s="710">
        <v>7132230039</v>
      </c>
      <c r="B481" s="718" t="s">
        <v>279</v>
      </c>
      <c r="C481" s="710" t="s">
        <v>1023</v>
      </c>
      <c r="D481" s="714">
        <v>460044</v>
      </c>
      <c r="E481" s="693" t="s">
        <v>1389</v>
      </c>
    </row>
    <row r="482" spans="1:5" ht="25.5">
      <c r="A482" s="710">
        <v>7132230043</v>
      </c>
      <c r="B482" s="713" t="s">
        <v>216</v>
      </c>
      <c r="C482" s="710" t="s">
        <v>1130</v>
      </c>
      <c r="D482" s="727">
        <v>18227</v>
      </c>
      <c r="E482" s="693" t="s">
        <v>1390</v>
      </c>
    </row>
    <row r="483" spans="1:5" ht="12.75">
      <c r="A483" s="706">
        <v>7132230065</v>
      </c>
      <c r="B483" s="721" t="s">
        <v>280</v>
      </c>
      <c r="C483" s="706" t="s">
        <v>1023</v>
      </c>
      <c r="D483" s="708">
        <v>290795</v>
      </c>
      <c r="E483" s="289" t="s">
        <v>1391</v>
      </c>
    </row>
    <row r="484" spans="1:5" ht="12.75">
      <c r="A484" s="706">
        <v>7132230075</v>
      </c>
      <c r="B484" s="721" t="s">
        <v>281</v>
      </c>
      <c r="C484" s="706" t="s">
        <v>1023</v>
      </c>
      <c r="D484" s="708">
        <v>331734</v>
      </c>
      <c r="E484" s="289" t="s">
        <v>1392</v>
      </c>
    </row>
    <row r="485" spans="1:5" ht="12.75">
      <c r="A485" s="706">
        <v>7132230076</v>
      </c>
      <c r="B485" s="721" t="s">
        <v>282</v>
      </c>
      <c r="C485" s="706" t="s">
        <v>1023</v>
      </c>
      <c r="D485" s="708">
        <v>735218</v>
      </c>
      <c r="E485" s="289" t="s">
        <v>1393</v>
      </c>
    </row>
    <row r="486" spans="1:5" ht="12.75">
      <c r="A486" s="706">
        <v>7132230077</v>
      </c>
      <c r="B486" s="721" t="s">
        <v>283</v>
      </c>
      <c r="C486" s="706" t="s">
        <v>1023</v>
      </c>
      <c r="D486" s="708">
        <v>484141</v>
      </c>
      <c r="E486" s="289" t="s">
        <v>1394</v>
      </c>
    </row>
    <row r="487" spans="1:5" ht="12.75">
      <c r="A487" s="706">
        <v>7132230078</v>
      </c>
      <c r="B487" s="721" t="s">
        <v>284</v>
      </c>
      <c r="C487" s="706" t="s">
        <v>1023</v>
      </c>
      <c r="D487" s="708">
        <v>448513</v>
      </c>
      <c r="E487" s="289" t="s">
        <v>1395</v>
      </c>
    </row>
    <row r="488" spans="1:5" ht="12.75">
      <c r="A488" s="717">
        <v>7132230088</v>
      </c>
      <c r="B488" s="713" t="s">
        <v>285</v>
      </c>
      <c r="C488" s="710" t="s">
        <v>1130</v>
      </c>
      <c r="D488" s="714">
        <v>30290</v>
      </c>
      <c r="E488" s="289"/>
    </row>
    <row r="489" spans="1:5" ht="12.75">
      <c r="A489" s="717">
        <v>7132230089</v>
      </c>
      <c r="B489" s="713" t="s">
        <v>286</v>
      </c>
      <c r="C489" s="710" t="s">
        <v>1130</v>
      </c>
      <c r="D489" s="714">
        <v>67155</v>
      </c>
      <c r="E489" s="289" t="s">
        <v>1396</v>
      </c>
    </row>
    <row r="490" spans="1:5" ht="15" customHeight="1">
      <c r="A490" s="715">
        <v>7132230185</v>
      </c>
      <c r="B490" s="713" t="s">
        <v>287</v>
      </c>
      <c r="C490" s="710" t="s">
        <v>1130</v>
      </c>
      <c r="D490" s="714">
        <v>8903</v>
      </c>
      <c r="E490" s="693" t="s">
        <v>1397</v>
      </c>
    </row>
    <row r="491" spans="1:5" ht="15" customHeight="1">
      <c r="A491" s="715">
        <v>7132230188</v>
      </c>
      <c r="B491" s="713" t="s">
        <v>288</v>
      </c>
      <c r="C491" s="710" t="s">
        <v>1130</v>
      </c>
      <c r="D491" s="714">
        <v>8903</v>
      </c>
      <c r="E491" s="693" t="s">
        <v>1398</v>
      </c>
    </row>
    <row r="492" spans="1:5" ht="15.75" customHeight="1">
      <c r="A492" s="715">
        <v>7132230263</v>
      </c>
      <c r="B492" s="713" t="s">
        <v>217</v>
      </c>
      <c r="C492" s="710" t="s">
        <v>1130</v>
      </c>
      <c r="D492" s="714">
        <v>18948</v>
      </c>
      <c r="E492" s="693" t="s">
        <v>1399</v>
      </c>
    </row>
    <row r="493" spans="1:5" ht="12.75" customHeight="1">
      <c r="A493" s="715">
        <v>7132230265</v>
      </c>
      <c r="B493" s="713" t="s">
        <v>218</v>
      </c>
      <c r="C493" s="710" t="s">
        <v>1130</v>
      </c>
      <c r="D493" s="714">
        <v>16868</v>
      </c>
      <c r="E493" s="693" t="s">
        <v>1400</v>
      </c>
    </row>
    <row r="494" spans="1:5" ht="13.5" customHeight="1">
      <c r="A494" s="715">
        <v>7132230304</v>
      </c>
      <c r="B494" s="713" t="s">
        <v>219</v>
      </c>
      <c r="C494" s="710" t="s">
        <v>1130</v>
      </c>
      <c r="D494" s="727">
        <v>16544</v>
      </c>
      <c r="E494" s="693" t="s">
        <v>1674</v>
      </c>
    </row>
    <row r="495" spans="1:5" ht="12.75">
      <c r="A495" s="706">
        <v>7132230330</v>
      </c>
      <c r="B495" s="721" t="s">
        <v>289</v>
      </c>
      <c r="C495" s="706" t="s">
        <v>1023</v>
      </c>
      <c r="D495" s="708">
        <v>328366</v>
      </c>
      <c r="E495" s="693" t="s">
        <v>945</v>
      </c>
    </row>
    <row r="496" spans="1:5" ht="12.75">
      <c r="A496" s="706">
        <v>7132230332</v>
      </c>
      <c r="B496" s="721" t="s">
        <v>290</v>
      </c>
      <c r="C496" s="706" t="s">
        <v>1023</v>
      </c>
      <c r="D496" s="708">
        <v>304009</v>
      </c>
      <c r="E496" s="693" t="s">
        <v>946</v>
      </c>
    </row>
    <row r="497" spans="1:5" ht="12.75">
      <c r="A497" s="706">
        <v>7132230336</v>
      </c>
      <c r="B497" s="721" t="s">
        <v>291</v>
      </c>
      <c r="C497" s="706" t="s">
        <v>1023</v>
      </c>
      <c r="D497" s="708">
        <v>266309</v>
      </c>
      <c r="E497" s="693" t="s">
        <v>947</v>
      </c>
    </row>
    <row r="498" spans="1:5" ht="12.75">
      <c r="A498" s="715">
        <v>7132230394</v>
      </c>
      <c r="B498" s="713" t="s">
        <v>292</v>
      </c>
      <c r="C498" s="710" t="s">
        <v>1130</v>
      </c>
      <c r="D498" s="714">
        <v>35395</v>
      </c>
      <c r="E498" s="693" t="s">
        <v>948</v>
      </c>
    </row>
    <row r="499" spans="1:5" ht="12.75">
      <c r="A499" s="710">
        <v>7132230395</v>
      </c>
      <c r="B499" s="713" t="s">
        <v>293</v>
      </c>
      <c r="C499" s="710" t="s">
        <v>1130</v>
      </c>
      <c r="D499" s="714">
        <v>31841</v>
      </c>
      <c r="E499" s="693" t="s">
        <v>949</v>
      </c>
    </row>
    <row r="500" spans="1:5" ht="12.75">
      <c r="A500" s="715">
        <v>7132230396</v>
      </c>
      <c r="B500" s="713" t="s">
        <v>294</v>
      </c>
      <c r="C500" s="710" t="s">
        <v>1130</v>
      </c>
      <c r="D500" s="714">
        <v>31131</v>
      </c>
      <c r="E500" s="693" t="s">
        <v>950</v>
      </c>
    </row>
    <row r="501" spans="1:5" ht="12.75">
      <c r="A501" s="715">
        <v>7132230399</v>
      </c>
      <c r="B501" s="713" t="s">
        <v>295</v>
      </c>
      <c r="C501" s="710" t="s">
        <v>1130</v>
      </c>
      <c r="D501" s="714">
        <v>30287</v>
      </c>
      <c r="E501" s="693" t="s">
        <v>951</v>
      </c>
    </row>
    <row r="502" spans="1:5" ht="12.75">
      <c r="A502" s="715">
        <v>7132230401</v>
      </c>
      <c r="B502" s="713" t="s">
        <v>296</v>
      </c>
      <c r="C502" s="710" t="s">
        <v>1130</v>
      </c>
      <c r="D502" s="714">
        <v>30894</v>
      </c>
      <c r="E502" s="693" t="s">
        <v>952</v>
      </c>
    </row>
    <row r="503" spans="1:5" ht="12.75">
      <c r="A503" s="715">
        <v>7132230406</v>
      </c>
      <c r="B503" s="713" t="s">
        <v>297</v>
      </c>
      <c r="C503" s="710" t="s">
        <v>1130</v>
      </c>
      <c r="D503" s="714">
        <v>30894</v>
      </c>
      <c r="E503" s="693" t="s">
        <v>953</v>
      </c>
    </row>
    <row r="504" spans="1:5" ht="12.75">
      <c r="A504" s="715">
        <v>7132230412</v>
      </c>
      <c r="B504" s="713" t="s">
        <v>1533</v>
      </c>
      <c r="C504" s="710" t="s">
        <v>1130</v>
      </c>
      <c r="D504" s="714">
        <v>29949</v>
      </c>
      <c r="E504" s="693" t="s">
        <v>954</v>
      </c>
    </row>
    <row r="505" spans="1:5" ht="12.75">
      <c r="A505" s="715">
        <v>7132230414</v>
      </c>
      <c r="B505" s="713" t="s">
        <v>298</v>
      </c>
      <c r="C505" s="710" t="s">
        <v>1130</v>
      </c>
      <c r="D505" s="714">
        <v>30894</v>
      </c>
      <c r="E505" s="693" t="s">
        <v>955</v>
      </c>
    </row>
    <row r="506" spans="1:5" ht="12.75">
      <c r="A506" s="715">
        <v>7132230418</v>
      </c>
      <c r="B506" s="713" t="s">
        <v>299</v>
      </c>
      <c r="C506" s="710" t="s">
        <v>1130</v>
      </c>
      <c r="D506" s="714">
        <v>64768</v>
      </c>
      <c r="E506" s="693" t="s">
        <v>956</v>
      </c>
    </row>
    <row r="507" spans="1:5" ht="12.75">
      <c r="A507" s="715">
        <v>7132230427</v>
      </c>
      <c r="B507" s="713" t="s">
        <v>1531</v>
      </c>
      <c r="C507" s="710" t="s">
        <v>1130</v>
      </c>
      <c r="D507" s="714">
        <v>64587</v>
      </c>
      <c r="E507" s="693" t="s">
        <v>957</v>
      </c>
    </row>
    <row r="508" spans="1:5" ht="12.75">
      <c r="A508" s="715">
        <v>7132230447</v>
      </c>
      <c r="B508" s="713" t="s">
        <v>300</v>
      </c>
      <c r="C508" s="710" t="s">
        <v>1130</v>
      </c>
      <c r="D508" s="714">
        <v>77029</v>
      </c>
      <c r="E508" s="693" t="s">
        <v>958</v>
      </c>
    </row>
    <row r="509" spans="1:5" ht="12.75">
      <c r="A509" s="715">
        <v>7132230448</v>
      </c>
      <c r="B509" s="713" t="s">
        <v>301</v>
      </c>
      <c r="C509" s="710" t="s">
        <v>1130</v>
      </c>
      <c r="D509" s="714">
        <v>64768</v>
      </c>
      <c r="E509" s="693" t="s">
        <v>959</v>
      </c>
    </row>
    <row r="510" spans="1:5" ht="12.75">
      <c r="A510" s="715">
        <v>7132230449</v>
      </c>
      <c r="B510" s="713" t="s">
        <v>302</v>
      </c>
      <c r="C510" s="710" t="s">
        <v>1130</v>
      </c>
      <c r="D510" s="714">
        <v>64768</v>
      </c>
      <c r="E510" s="693" t="s">
        <v>1345</v>
      </c>
    </row>
    <row r="511" spans="1:5" ht="12.75">
      <c r="A511" s="715">
        <v>7132230450</v>
      </c>
      <c r="B511" s="713" t="s">
        <v>303</v>
      </c>
      <c r="C511" s="710" t="s">
        <v>1130</v>
      </c>
      <c r="D511" s="714">
        <v>66527</v>
      </c>
      <c r="E511" s="693" t="s">
        <v>1346</v>
      </c>
    </row>
    <row r="512" spans="1:5" ht="12.75">
      <c r="A512" s="715">
        <v>7132230453</v>
      </c>
      <c r="B512" s="713" t="s">
        <v>304</v>
      </c>
      <c r="C512" s="710" t="s">
        <v>1130</v>
      </c>
      <c r="D512" s="714">
        <v>66527</v>
      </c>
      <c r="E512" s="693" t="s">
        <v>1347</v>
      </c>
    </row>
    <row r="513" spans="1:5" ht="14.25" customHeight="1">
      <c r="A513" s="715">
        <v>7132230455</v>
      </c>
      <c r="B513" s="718" t="s">
        <v>305</v>
      </c>
      <c r="C513" s="710" t="s">
        <v>1130</v>
      </c>
      <c r="D513" s="714">
        <v>64768</v>
      </c>
      <c r="E513" s="693" t="s">
        <v>1848</v>
      </c>
    </row>
    <row r="514" spans="1:5" ht="12.75">
      <c r="A514" s="710">
        <v>7132230457</v>
      </c>
      <c r="B514" s="713" t="s">
        <v>306</v>
      </c>
      <c r="C514" s="710" t="s">
        <v>1130</v>
      </c>
      <c r="D514" s="714">
        <v>66145</v>
      </c>
      <c r="E514" s="693" t="s">
        <v>1849</v>
      </c>
    </row>
    <row r="515" spans="1:9" ht="25.5">
      <c r="A515" s="715">
        <v>7132230056</v>
      </c>
      <c r="B515" s="713" t="s">
        <v>220</v>
      </c>
      <c r="C515" s="710" t="s">
        <v>1130</v>
      </c>
      <c r="D515" s="714">
        <v>8903</v>
      </c>
      <c r="E515" s="693" t="s">
        <v>1850</v>
      </c>
      <c r="I515" s="710" t="s">
        <v>307</v>
      </c>
    </row>
    <row r="516" spans="1:9" ht="25.5">
      <c r="A516" s="715">
        <v>7132230057</v>
      </c>
      <c r="B516" s="713" t="s">
        <v>1682</v>
      </c>
      <c r="C516" s="710" t="s">
        <v>1130</v>
      </c>
      <c r="D516" s="714">
        <v>16371</v>
      </c>
      <c r="E516" s="693" t="s">
        <v>1851</v>
      </c>
      <c r="I516" s="710" t="s">
        <v>308</v>
      </c>
    </row>
    <row r="517" spans="1:5" ht="12.75">
      <c r="A517" s="706">
        <v>7132230501</v>
      </c>
      <c r="B517" s="716" t="s">
        <v>1683</v>
      </c>
      <c r="C517" s="706" t="s">
        <v>1023</v>
      </c>
      <c r="D517" s="708">
        <v>227961</v>
      </c>
      <c r="E517" s="693" t="s">
        <v>1852</v>
      </c>
    </row>
    <row r="518" spans="1:5" ht="12.75">
      <c r="A518" s="706">
        <v>7132230511</v>
      </c>
      <c r="B518" s="716" t="s">
        <v>1684</v>
      </c>
      <c r="C518" s="706" t="s">
        <v>1023</v>
      </c>
      <c r="D518" s="708">
        <v>540886</v>
      </c>
      <c r="E518" s="693" t="s">
        <v>1853</v>
      </c>
    </row>
    <row r="519" spans="1:5" ht="12.75">
      <c r="A519" s="719">
        <v>7132404015</v>
      </c>
      <c r="B519" s="721" t="s">
        <v>929</v>
      </c>
      <c r="C519" s="702" t="s">
        <v>1680</v>
      </c>
      <c r="D519" s="722">
        <v>549</v>
      </c>
      <c r="E519" s="693" t="s">
        <v>1854</v>
      </c>
    </row>
    <row r="520" spans="1:5" ht="12.75">
      <c r="A520" s="719">
        <v>7132404016</v>
      </c>
      <c r="B520" s="721" t="s">
        <v>930</v>
      </c>
      <c r="C520" s="702" t="s">
        <v>1680</v>
      </c>
      <c r="D520" s="722">
        <v>123</v>
      </c>
      <c r="E520" s="693" t="s">
        <v>1497</v>
      </c>
    </row>
    <row r="521" spans="1:5" ht="25.5">
      <c r="A521" s="712">
        <v>7132404366</v>
      </c>
      <c r="B521" s="705" t="s">
        <v>745</v>
      </c>
      <c r="C521" s="706" t="s">
        <v>1023</v>
      </c>
      <c r="D521" s="708">
        <v>49161</v>
      </c>
      <c r="E521" s="693" t="s">
        <v>1498</v>
      </c>
    </row>
    <row r="522" spans="1:5" ht="25.5">
      <c r="A522" s="719">
        <v>7132406022</v>
      </c>
      <c r="B522" s="718" t="s">
        <v>2048</v>
      </c>
      <c r="C522" s="702" t="s">
        <v>1680</v>
      </c>
      <c r="D522" s="722">
        <v>131</v>
      </c>
      <c r="E522" s="693" t="s">
        <v>106</v>
      </c>
    </row>
    <row r="523" spans="1:5" ht="25.5">
      <c r="A523" s="712">
        <v>7132406420</v>
      </c>
      <c r="B523" s="713" t="s">
        <v>211</v>
      </c>
      <c r="C523" s="706" t="s">
        <v>1130</v>
      </c>
      <c r="D523" s="708">
        <v>2437</v>
      </c>
      <c r="E523" s="693" t="s">
        <v>107</v>
      </c>
    </row>
    <row r="524" spans="1:5" ht="12.75">
      <c r="A524" s="712">
        <v>7132406425</v>
      </c>
      <c r="B524" s="705" t="s">
        <v>2018</v>
      </c>
      <c r="C524" s="706" t="s">
        <v>1130</v>
      </c>
      <c r="D524" s="708">
        <v>2528</v>
      </c>
      <c r="E524" s="693" t="s">
        <v>2018</v>
      </c>
    </row>
    <row r="525" spans="1:5" ht="25.5">
      <c r="A525" s="715">
        <v>7132406721</v>
      </c>
      <c r="B525" s="713" t="s">
        <v>2138</v>
      </c>
      <c r="C525" s="710" t="s">
        <v>1130</v>
      </c>
      <c r="D525" s="714">
        <v>2538</v>
      </c>
      <c r="E525" s="693" t="s">
        <v>108</v>
      </c>
    </row>
    <row r="526" spans="1:5" ht="16.5" customHeight="1">
      <c r="A526" s="733">
        <v>7132411894</v>
      </c>
      <c r="B526" s="718" t="s">
        <v>1729</v>
      </c>
      <c r="C526" s="702" t="s">
        <v>1016</v>
      </c>
      <c r="D526" s="722">
        <v>457</v>
      </c>
      <c r="E526" s="693" t="s">
        <v>965</v>
      </c>
    </row>
    <row r="527" spans="1:5" ht="31.5" customHeight="1">
      <c r="A527" s="733">
        <v>7132421002</v>
      </c>
      <c r="B527" s="713" t="s">
        <v>943</v>
      </c>
      <c r="C527" s="710" t="s">
        <v>1061</v>
      </c>
      <c r="D527" s="714">
        <v>5166</v>
      </c>
      <c r="E527" s="693" t="s">
        <v>966</v>
      </c>
    </row>
    <row r="528" spans="1:5" ht="12.75">
      <c r="A528" s="719">
        <v>7132427634</v>
      </c>
      <c r="B528" s="721" t="s">
        <v>1858</v>
      </c>
      <c r="C528" s="702" t="s">
        <v>1680</v>
      </c>
      <c r="D528" s="722">
        <v>771</v>
      </c>
      <c r="E528" s="693" t="s">
        <v>967</v>
      </c>
    </row>
    <row r="529" spans="1:5" ht="12.75">
      <c r="A529" s="719">
        <v>7132427635</v>
      </c>
      <c r="B529" s="721" t="s">
        <v>1859</v>
      </c>
      <c r="C529" s="702" t="s">
        <v>1680</v>
      </c>
      <c r="D529" s="722">
        <v>519</v>
      </c>
      <c r="E529" s="693" t="s">
        <v>968</v>
      </c>
    </row>
    <row r="530" spans="1:5" ht="12.75">
      <c r="A530" s="719">
        <v>7132438002</v>
      </c>
      <c r="B530" s="718" t="s">
        <v>1734</v>
      </c>
      <c r="C530" s="702" t="s">
        <v>1070</v>
      </c>
      <c r="D530" s="722">
        <v>163</v>
      </c>
      <c r="E530" s="693" t="s">
        <v>969</v>
      </c>
    </row>
    <row r="531" spans="1:5" ht="12.75">
      <c r="A531" s="706">
        <v>7132444005</v>
      </c>
      <c r="B531" s="721" t="s">
        <v>1784</v>
      </c>
      <c r="C531" s="706" t="s">
        <v>1130</v>
      </c>
      <c r="D531" s="708">
        <v>4</v>
      </c>
      <c r="E531" s="693" t="s">
        <v>931</v>
      </c>
    </row>
    <row r="532" spans="1:5" ht="12.75">
      <c r="A532" s="719">
        <v>7132444007</v>
      </c>
      <c r="B532" s="718" t="s">
        <v>2108</v>
      </c>
      <c r="C532" s="702" t="s">
        <v>426</v>
      </c>
      <c r="D532" s="722">
        <v>893</v>
      </c>
      <c r="E532" s="693"/>
    </row>
    <row r="533" spans="1:9" ht="25.5">
      <c r="A533" s="733">
        <v>7132448003</v>
      </c>
      <c r="B533" s="713" t="s">
        <v>979</v>
      </c>
      <c r="C533" s="710" t="s">
        <v>1061</v>
      </c>
      <c r="D533" s="714">
        <v>3710</v>
      </c>
      <c r="E533" s="693" t="s">
        <v>932</v>
      </c>
      <c r="I533" s="710" t="s">
        <v>309</v>
      </c>
    </row>
    <row r="534" spans="1:5" ht="54" customHeight="1">
      <c r="A534" s="719">
        <v>7132455002</v>
      </c>
      <c r="B534" s="718" t="s">
        <v>2050</v>
      </c>
      <c r="C534" s="702" t="s">
        <v>1680</v>
      </c>
      <c r="D534" s="722">
        <v>274</v>
      </c>
      <c r="E534" s="693"/>
    </row>
    <row r="535" spans="1:5" ht="12.75">
      <c r="A535" s="715">
        <v>7132457798</v>
      </c>
      <c r="B535" s="713" t="s">
        <v>311</v>
      </c>
      <c r="C535" s="710" t="s">
        <v>769</v>
      </c>
      <c r="D535" s="714">
        <v>77842</v>
      </c>
      <c r="E535" s="693" t="s">
        <v>933</v>
      </c>
    </row>
    <row r="536" spans="1:5" ht="12.75">
      <c r="A536" s="715">
        <v>7132457798</v>
      </c>
      <c r="B536" s="713" t="s">
        <v>312</v>
      </c>
      <c r="C536" s="710" t="s">
        <v>769</v>
      </c>
      <c r="D536" s="714">
        <v>68897</v>
      </c>
      <c r="E536" s="693" t="s">
        <v>933</v>
      </c>
    </row>
    <row r="537" spans="1:5" ht="16.5" customHeight="1">
      <c r="A537" s="717">
        <v>7132459005</v>
      </c>
      <c r="B537" s="718" t="s">
        <v>1785</v>
      </c>
      <c r="C537" s="710" t="s">
        <v>1130</v>
      </c>
      <c r="D537" s="714">
        <v>5</v>
      </c>
      <c r="E537" s="693" t="s">
        <v>934</v>
      </c>
    </row>
    <row r="538" spans="1:5" ht="12.75">
      <c r="A538" s="709">
        <v>7132461004</v>
      </c>
      <c r="B538" s="736" t="s">
        <v>2190</v>
      </c>
      <c r="C538" s="737" t="s">
        <v>1025</v>
      </c>
      <c r="D538" s="708">
        <v>1020</v>
      </c>
      <c r="E538" s="693" t="s">
        <v>935</v>
      </c>
    </row>
    <row r="539" spans="1:5" ht="12.75">
      <c r="A539" s="709">
        <v>7132461005</v>
      </c>
      <c r="B539" s="736" t="s">
        <v>2194</v>
      </c>
      <c r="C539" s="737" t="s">
        <v>1680</v>
      </c>
      <c r="D539" s="708">
        <v>371</v>
      </c>
      <c r="E539" s="693" t="s">
        <v>936</v>
      </c>
    </row>
    <row r="540" spans="1:5" ht="12.75">
      <c r="A540" s="712">
        <v>7132468558</v>
      </c>
      <c r="B540" s="705" t="s">
        <v>744</v>
      </c>
      <c r="C540" s="706" t="s">
        <v>1130</v>
      </c>
      <c r="D540" s="708">
        <v>9316</v>
      </c>
      <c r="E540" s="693" t="s">
        <v>937</v>
      </c>
    </row>
    <row r="541" spans="1:5" ht="12.75">
      <c r="A541" s="719">
        <v>7132475019</v>
      </c>
      <c r="B541" s="721" t="s">
        <v>928</v>
      </c>
      <c r="C541" s="702" t="s">
        <v>426</v>
      </c>
      <c r="D541" s="722">
        <v>310</v>
      </c>
      <c r="E541" s="693"/>
    </row>
    <row r="542" spans="1:5" ht="25.5">
      <c r="A542" s="719">
        <v>7132475019</v>
      </c>
      <c r="B542" s="718" t="s">
        <v>260</v>
      </c>
      <c r="C542" s="702" t="s">
        <v>2049</v>
      </c>
      <c r="D542" s="722">
        <v>131</v>
      </c>
      <c r="E542" s="693"/>
    </row>
    <row r="543" spans="1:5" ht="25.5">
      <c r="A543" s="719">
        <v>7132476007</v>
      </c>
      <c r="B543" s="718" t="s">
        <v>261</v>
      </c>
      <c r="C543" s="702" t="s">
        <v>2049</v>
      </c>
      <c r="D543" s="722">
        <v>15</v>
      </c>
      <c r="E543" s="693" t="s">
        <v>938</v>
      </c>
    </row>
    <row r="544" spans="1:5" ht="25.5">
      <c r="A544" s="719">
        <v>7132476008</v>
      </c>
      <c r="B544" s="718" t="s">
        <v>263</v>
      </c>
      <c r="C544" s="702" t="s">
        <v>2049</v>
      </c>
      <c r="D544" s="722">
        <v>71</v>
      </c>
      <c r="E544" s="693"/>
    </row>
    <row r="545" spans="1:5" ht="12.75">
      <c r="A545" s="733">
        <v>7132478004</v>
      </c>
      <c r="B545" s="718" t="s">
        <v>487</v>
      </c>
      <c r="C545" s="702" t="s">
        <v>1680</v>
      </c>
      <c r="D545" s="714">
        <v>1351</v>
      </c>
      <c r="E545" s="693" t="s">
        <v>1844</v>
      </c>
    </row>
    <row r="546" spans="1:5" ht="12.75">
      <c r="A546" s="719">
        <v>7132478011</v>
      </c>
      <c r="B546" s="721" t="s">
        <v>474</v>
      </c>
      <c r="C546" s="702" t="s">
        <v>1680</v>
      </c>
      <c r="D546" s="722">
        <v>534</v>
      </c>
      <c r="E546" s="693"/>
    </row>
    <row r="547" spans="1:5" ht="12.75">
      <c r="A547" s="719">
        <v>7132478012</v>
      </c>
      <c r="B547" s="721" t="s">
        <v>475</v>
      </c>
      <c r="C547" s="702" t="s">
        <v>1680</v>
      </c>
      <c r="D547" s="722">
        <v>364</v>
      </c>
      <c r="E547" s="693" t="s">
        <v>1845</v>
      </c>
    </row>
    <row r="548" spans="1:5" ht="12.75">
      <c r="A548" s="719">
        <v>7132478012</v>
      </c>
      <c r="B548" s="718" t="s">
        <v>264</v>
      </c>
      <c r="C548" s="702" t="s">
        <v>1070</v>
      </c>
      <c r="D548" s="722">
        <v>65</v>
      </c>
      <c r="E548" s="693" t="s">
        <v>1845</v>
      </c>
    </row>
    <row r="549" spans="1:5" ht="28.5" customHeight="1">
      <c r="A549" s="733">
        <v>7132490006</v>
      </c>
      <c r="B549" s="718" t="s">
        <v>1299</v>
      </c>
      <c r="C549" s="710" t="s">
        <v>1061</v>
      </c>
      <c r="D549" s="714">
        <v>4619</v>
      </c>
      <c r="E549" s="693" t="s">
        <v>1846</v>
      </c>
    </row>
    <row r="550" spans="1:5" ht="12.75">
      <c r="A550" s="719">
        <v>7132490052</v>
      </c>
      <c r="B550" s="718" t="s">
        <v>266</v>
      </c>
      <c r="C550" s="702" t="s">
        <v>1070</v>
      </c>
      <c r="D550" s="722">
        <v>59</v>
      </c>
      <c r="E550" s="693"/>
    </row>
    <row r="551" spans="1:5" ht="12.75">
      <c r="A551" s="719">
        <v>7132490053</v>
      </c>
      <c r="B551" s="718" t="s">
        <v>267</v>
      </c>
      <c r="C551" s="702" t="s">
        <v>1070</v>
      </c>
      <c r="D551" s="722">
        <v>90</v>
      </c>
      <c r="E551" s="693"/>
    </row>
    <row r="552" spans="1:5" ht="12.75">
      <c r="A552" s="719">
        <v>7132498006</v>
      </c>
      <c r="B552" s="718" t="s">
        <v>490</v>
      </c>
      <c r="C552" s="702" t="s">
        <v>1065</v>
      </c>
      <c r="D552" s="722">
        <v>650</v>
      </c>
      <c r="E552" s="693" t="s">
        <v>1847</v>
      </c>
    </row>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1"/>
  </sheetPr>
  <dimension ref="A1:I53"/>
  <sheetViews>
    <sheetView zoomScalePageLayoutView="0" workbookViewId="0" topLeftCell="A1">
      <pane xSplit="1" ySplit="7" topLeftCell="B8"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5.140625" style="79" customWidth="1"/>
    <col min="2" max="2" width="39.421875" style="501" customWidth="1"/>
    <col min="3" max="3" width="12.8515625" style="2" customWidth="1"/>
    <col min="4" max="4" width="5.57421875" style="598" customWidth="1"/>
    <col min="5" max="5" width="10.28125" style="2" customWidth="1"/>
    <col min="6" max="6" width="6.140625" style="2" customWidth="1"/>
    <col min="7" max="7" width="11.140625" style="2" customWidth="1"/>
    <col min="8" max="8" width="14.8515625" style="2" customWidth="1"/>
    <col min="9" max="9" width="9.140625" style="2" customWidth="1"/>
    <col min="10" max="10" width="12.421875" style="2" bestFit="1" customWidth="1"/>
    <col min="11" max="16384" width="9.140625" style="2" customWidth="1"/>
  </cols>
  <sheetData>
    <row r="1" spans="2:7" ht="18">
      <c r="B1" s="1279" t="s">
        <v>658</v>
      </c>
      <c r="C1" s="1279"/>
      <c r="D1" s="1279"/>
      <c r="E1" s="126"/>
      <c r="F1" s="126"/>
      <c r="G1" s="126"/>
    </row>
    <row r="2" spans="2:7" ht="15.75">
      <c r="B2" s="1458" t="s">
        <v>886</v>
      </c>
      <c r="C2" s="1458"/>
      <c r="D2" s="1458"/>
      <c r="E2" s="577"/>
      <c r="F2" s="1404" t="s">
        <v>1153</v>
      </c>
      <c r="G2" s="1404"/>
    </row>
    <row r="3" spans="1:7" ht="13.5" customHeight="1">
      <c r="A3" s="1408"/>
      <c r="B3" s="1408"/>
      <c r="C3" s="1408"/>
      <c r="D3" s="1408"/>
      <c r="E3" s="1408"/>
      <c r="F3" s="1408"/>
      <c r="G3" s="1408"/>
    </row>
    <row r="4" spans="1:7" ht="15">
      <c r="A4" s="1404" t="s">
        <v>659</v>
      </c>
      <c r="B4" s="1404"/>
      <c r="C4" s="1404"/>
      <c r="D4" s="1404"/>
      <c r="E4" s="1404"/>
      <c r="F4" s="1404"/>
      <c r="G4" s="1404"/>
    </row>
    <row r="5" spans="1:7" ht="12.75">
      <c r="A5" s="179"/>
      <c r="B5" s="548"/>
      <c r="C5" s="145"/>
      <c r="D5" s="578"/>
      <c r="E5" s="145"/>
      <c r="F5" s="145"/>
      <c r="G5" s="569"/>
    </row>
    <row r="6" spans="1:7" ht="30" customHeight="1">
      <c r="A6" s="46" t="s">
        <v>1947</v>
      </c>
      <c r="B6" s="46" t="s">
        <v>1057</v>
      </c>
      <c r="C6" s="46" t="s">
        <v>1331</v>
      </c>
      <c r="D6" s="46" t="s">
        <v>1058</v>
      </c>
      <c r="E6" s="46" t="s">
        <v>1018</v>
      </c>
      <c r="F6" s="46" t="s">
        <v>660</v>
      </c>
      <c r="G6" s="46" t="s">
        <v>1019</v>
      </c>
    </row>
    <row r="7" spans="1:7" ht="12.75">
      <c r="A7" s="284">
        <v>1</v>
      </c>
      <c r="B7" s="579">
        <v>2</v>
      </c>
      <c r="C7" s="284">
        <v>3</v>
      </c>
      <c r="D7" s="579">
        <v>4</v>
      </c>
      <c r="E7" s="284">
        <v>5</v>
      </c>
      <c r="F7" s="579">
        <v>6</v>
      </c>
      <c r="G7" s="284">
        <v>7</v>
      </c>
    </row>
    <row r="8" spans="1:7" ht="30.75" customHeight="1">
      <c r="A8" s="517">
        <v>1</v>
      </c>
      <c r="B8" s="519" t="s">
        <v>661</v>
      </c>
      <c r="C8" s="264">
        <v>7130601958</v>
      </c>
      <c r="D8" s="517" t="s">
        <v>1070</v>
      </c>
      <c r="E8" s="339">
        <f>VLOOKUP(C8,'SOR RATE'!A:D,4,0)/1000</f>
        <v>44.989</v>
      </c>
      <c r="F8" s="517">
        <v>593.6</v>
      </c>
      <c r="G8" s="265">
        <f>F8*E8</f>
        <v>26705.4704</v>
      </c>
    </row>
    <row r="9" spans="1:7" ht="31.5" customHeight="1">
      <c r="A9" s="338">
        <v>2</v>
      </c>
      <c r="B9" s="519" t="s">
        <v>662</v>
      </c>
      <c r="C9" s="264">
        <v>7130810684</v>
      </c>
      <c r="D9" s="338" t="s">
        <v>1022</v>
      </c>
      <c r="E9" s="339">
        <f>VLOOKUP(C9,'SOR RATE'!A:D,4,0)</f>
        <v>8457</v>
      </c>
      <c r="F9" s="338">
        <v>6</v>
      </c>
      <c r="G9" s="265">
        <f>F9*E9</f>
        <v>50742</v>
      </c>
    </row>
    <row r="10" spans="1:7" ht="49.5" customHeight="1">
      <c r="A10" s="1459">
        <v>3</v>
      </c>
      <c r="B10" s="543" t="s">
        <v>663</v>
      </c>
      <c r="C10" s="264"/>
      <c r="D10" s="517" t="s">
        <v>1022</v>
      </c>
      <c r="E10" s="580">
        <f>G11+G12</f>
        <v>19755</v>
      </c>
      <c r="F10" s="581">
        <v>15</v>
      </c>
      <c r="G10" s="265"/>
    </row>
    <row r="11" spans="1:9" ht="14.25" customHeight="1">
      <c r="A11" s="1460"/>
      <c r="B11" s="519" t="s">
        <v>888</v>
      </c>
      <c r="C11" s="264">
        <v>7130820011</v>
      </c>
      <c r="D11" s="517" t="s">
        <v>1061</v>
      </c>
      <c r="E11" s="339">
        <f>VLOOKUP(C11,'SOR RATE'!A:D,4,0)</f>
        <v>354</v>
      </c>
      <c r="F11" s="517">
        <v>45</v>
      </c>
      <c r="G11" s="265">
        <f aca="true" t="shared" si="0" ref="G11:G16">F11*E11</f>
        <v>15930</v>
      </c>
      <c r="I11" s="2" t="s">
        <v>887</v>
      </c>
    </row>
    <row r="12" spans="1:7" ht="15" customHeight="1">
      <c r="A12" s="1461"/>
      <c r="B12" s="519" t="s">
        <v>664</v>
      </c>
      <c r="C12" s="264">
        <v>7130820248</v>
      </c>
      <c r="D12" s="517" t="s">
        <v>1130</v>
      </c>
      <c r="E12" s="339">
        <f>VLOOKUP(C12,'SOR RATE'!A:D,4,0)</f>
        <v>255</v>
      </c>
      <c r="F12" s="517">
        <v>15</v>
      </c>
      <c r="G12" s="265">
        <f t="shared" si="0"/>
        <v>3825</v>
      </c>
    </row>
    <row r="13" spans="1:7" ht="15.75" customHeight="1">
      <c r="A13" s="338">
        <v>4</v>
      </c>
      <c r="B13" s="519" t="s">
        <v>665</v>
      </c>
      <c r="C13" s="264">
        <v>7131930109</v>
      </c>
      <c r="D13" s="338" t="s">
        <v>1061</v>
      </c>
      <c r="E13" s="339">
        <f>VLOOKUP(C13,'SOR RATE'!A:D,4,0)</f>
        <v>40392</v>
      </c>
      <c r="F13" s="338">
        <v>2</v>
      </c>
      <c r="G13" s="265">
        <f t="shared" si="0"/>
        <v>80784</v>
      </c>
    </row>
    <row r="14" spans="1:7" ht="14.25">
      <c r="A14" s="338">
        <v>5</v>
      </c>
      <c r="B14" s="519" t="s">
        <v>666</v>
      </c>
      <c r="C14" s="264">
        <v>7130830585</v>
      </c>
      <c r="D14" s="338" t="s">
        <v>1061</v>
      </c>
      <c r="E14" s="339">
        <f>VLOOKUP(C14,'SOR RATE'!A:D,4,0)</f>
        <v>239</v>
      </c>
      <c r="F14" s="338">
        <v>12</v>
      </c>
      <c r="G14" s="265">
        <f t="shared" si="0"/>
        <v>2868</v>
      </c>
    </row>
    <row r="15" spans="1:7" ht="14.25">
      <c r="A15" s="338">
        <v>6</v>
      </c>
      <c r="B15" s="519" t="s">
        <v>667</v>
      </c>
      <c r="C15" s="264">
        <v>7130830585</v>
      </c>
      <c r="D15" s="338" t="s">
        <v>1061</v>
      </c>
      <c r="E15" s="339">
        <f>VLOOKUP(C15,'SOR RATE'!A:D,4,0)</f>
        <v>239</v>
      </c>
      <c r="F15" s="338">
        <v>6</v>
      </c>
      <c r="G15" s="265">
        <f t="shared" si="0"/>
        <v>1434</v>
      </c>
    </row>
    <row r="16" spans="1:7" ht="14.25" customHeight="1">
      <c r="A16" s="338">
        <v>7</v>
      </c>
      <c r="B16" s="519" t="s">
        <v>668</v>
      </c>
      <c r="C16" s="264">
        <v>7130830063</v>
      </c>
      <c r="D16" s="338" t="s">
        <v>1322</v>
      </c>
      <c r="E16" s="339">
        <f>VLOOKUP(C16,'SOR RATE'!A:D,4,0)/1000</f>
        <v>64.842</v>
      </c>
      <c r="F16" s="338">
        <v>50</v>
      </c>
      <c r="G16" s="265">
        <f t="shared" si="0"/>
        <v>3242.1</v>
      </c>
    </row>
    <row r="17" spans="1:7" ht="15">
      <c r="A17" s="1452">
        <v>8</v>
      </c>
      <c r="B17" s="543" t="s">
        <v>669</v>
      </c>
      <c r="C17" s="264"/>
      <c r="D17" s="338" t="s">
        <v>1065</v>
      </c>
      <c r="E17" s="339"/>
      <c r="F17" s="544"/>
      <c r="G17" s="265"/>
    </row>
    <row r="18" spans="1:7" ht="14.25">
      <c r="A18" s="1454"/>
      <c r="B18" s="519" t="s">
        <v>635</v>
      </c>
      <c r="C18" s="264">
        <v>7130200401</v>
      </c>
      <c r="D18" s="338" t="s">
        <v>1070</v>
      </c>
      <c r="E18" s="339">
        <f>VLOOKUP(C18,'SOR RATE'!A:D,4,0)/50</f>
        <v>5.36</v>
      </c>
      <c r="F18" s="338">
        <v>187</v>
      </c>
      <c r="G18" s="265">
        <f>F18*E18</f>
        <v>1002.32</v>
      </c>
    </row>
    <row r="19" spans="1:9" ht="14.25">
      <c r="A19" s="582">
        <v>9</v>
      </c>
      <c r="B19" s="519" t="s">
        <v>1147</v>
      </c>
      <c r="C19" s="264">
        <v>7130820009</v>
      </c>
      <c r="D19" s="338" t="s">
        <v>1130</v>
      </c>
      <c r="E19" s="339">
        <f>VLOOKUP(C19,'SOR RATE'!A:D,4,0)</f>
        <v>388</v>
      </c>
      <c r="F19" s="338">
        <v>6</v>
      </c>
      <c r="G19" s="265">
        <f>F19*E19</f>
        <v>2328</v>
      </c>
      <c r="I19" s="2" t="s">
        <v>1988</v>
      </c>
    </row>
    <row r="20" spans="1:7" ht="15">
      <c r="A20" s="1452">
        <v>10</v>
      </c>
      <c r="B20" s="543" t="s">
        <v>1594</v>
      </c>
      <c r="C20" s="264"/>
      <c r="D20" s="338" t="s">
        <v>1070</v>
      </c>
      <c r="E20" s="339"/>
      <c r="F20" s="544">
        <v>40</v>
      </c>
      <c r="G20" s="265"/>
    </row>
    <row r="21" spans="1:7" ht="14.25">
      <c r="A21" s="1453"/>
      <c r="B21" s="337" t="s">
        <v>2025</v>
      </c>
      <c r="C21" s="264">
        <v>7130620609</v>
      </c>
      <c r="D21" s="338" t="s">
        <v>1070</v>
      </c>
      <c r="E21" s="339">
        <f>VLOOKUP(C21,'SOR RATE'!A:D,4,0)</f>
        <v>64</v>
      </c>
      <c r="F21" s="338">
        <v>2</v>
      </c>
      <c r="G21" s="265">
        <f aca="true" t="shared" si="1" ref="G21:G26">F21*E21</f>
        <v>128</v>
      </c>
    </row>
    <row r="22" spans="1:7" ht="14.25">
      <c r="A22" s="1453"/>
      <c r="B22" s="337" t="s">
        <v>2026</v>
      </c>
      <c r="C22" s="264">
        <v>7130620614</v>
      </c>
      <c r="D22" s="338" t="s">
        <v>1070</v>
      </c>
      <c r="E22" s="339">
        <f>VLOOKUP(C22,'SOR RATE'!A:D,4,0)</f>
        <v>63</v>
      </c>
      <c r="F22" s="338">
        <v>3</v>
      </c>
      <c r="G22" s="265">
        <f t="shared" si="1"/>
        <v>189</v>
      </c>
    </row>
    <row r="23" spans="1:7" ht="14.25">
      <c r="A23" s="1453"/>
      <c r="B23" s="337" t="s">
        <v>2027</v>
      </c>
      <c r="C23" s="264">
        <v>7130620619</v>
      </c>
      <c r="D23" s="338" t="s">
        <v>1070</v>
      </c>
      <c r="E23" s="339">
        <f>VLOOKUP(C23,'SOR RATE'!A:D,4,0)</f>
        <v>63</v>
      </c>
      <c r="F23" s="338">
        <v>5</v>
      </c>
      <c r="G23" s="265">
        <f t="shared" si="1"/>
        <v>315</v>
      </c>
    </row>
    <row r="24" spans="1:7" ht="14.25">
      <c r="A24" s="1453"/>
      <c r="B24" s="337" t="s">
        <v>2028</v>
      </c>
      <c r="C24" s="264">
        <v>7130620627</v>
      </c>
      <c r="D24" s="338" t="s">
        <v>1070</v>
      </c>
      <c r="E24" s="339">
        <f>VLOOKUP(C24,'SOR RATE'!A:D,4,0)</f>
        <v>62</v>
      </c>
      <c r="F24" s="338">
        <v>15</v>
      </c>
      <c r="G24" s="265">
        <f t="shared" si="1"/>
        <v>930</v>
      </c>
    </row>
    <row r="25" spans="1:7" ht="14.25">
      <c r="A25" s="1453"/>
      <c r="B25" s="337" t="s">
        <v>1077</v>
      </c>
      <c r="C25" s="263">
        <v>7130620631</v>
      </c>
      <c r="D25" s="338" t="s">
        <v>1070</v>
      </c>
      <c r="E25" s="339">
        <f>VLOOKUP(C25,'SOR RATE'!A:D,4,0)</f>
        <v>62</v>
      </c>
      <c r="F25" s="338">
        <v>10</v>
      </c>
      <c r="G25" s="265">
        <f t="shared" si="1"/>
        <v>620</v>
      </c>
    </row>
    <row r="26" spans="1:7" ht="14.25">
      <c r="A26" s="1454"/>
      <c r="B26" s="337" t="s">
        <v>1078</v>
      </c>
      <c r="C26" s="264">
        <v>7130620637</v>
      </c>
      <c r="D26" s="338" t="s">
        <v>1070</v>
      </c>
      <c r="E26" s="339">
        <f>VLOOKUP(C26,'SOR RATE'!A:D,4,0)</f>
        <v>62</v>
      </c>
      <c r="F26" s="338">
        <v>5</v>
      </c>
      <c r="G26" s="265">
        <f t="shared" si="1"/>
        <v>310</v>
      </c>
    </row>
    <row r="27" spans="1:9" ht="15" customHeight="1">
      <c r="A27" s="544">
        <v>11</v>
      </c>
      <c r="B27" s="552" t="s">
        <v>771</v>
      </c>
      <c r="C27" s="544"/>
      <c r="D27" s="544"/>
      <c r="E27" s="544"/>
      <c r="F27" s="544"/>
      <c r="G27" s="522">
        <f>SUM(G8:G26)</f>
        <v>191352.8904</v>
      </c>
      <c r="H27" s="583"/>
      <c r="I27" s="584"/>
    </row>
    <row r="28" spans="1:9" ht="15" customHeight="1">
      <c r="A28" s="582">
        <v>12</v>
      </c>
      <c r="B28" s="262" t="s">
        <v>770</v>
      </c>
      <c r="C28" s="585"/>
      <c r="D28" s="586"/>
      <c r="E28" s="338">
        <v>0.09</v>
      </c>
      <c r="F28" s="338"/>
      <c r="G28" s="339">
        <f>G27*E28</f>
        <v>17221.760136</v>
      </c>
      <c r="H28" s="583"/>
      <c r="I28" s="584"/>
    </row>
    <row r="29" spans="1:7" ht="14.25">
      <c r="A29" s="338">
        <v>13</v>
      </c>
      <c r="B29" s="519" t="s">
        <v>1598</v>
      </c>
      <c r="C29" s="587"/>
      <c r="D29" s="338" t="s">
        <v>1065</v>
      </c>
      <c r="E29" s="588">
        <f>1664*1.27*1.0891*1.086275*1.1112*1.0685</f>
        <v>2968.460981603261</v>
      </c>
      <c r="F29" s="338">
        <v>0.9</v>
      </c>
      <c r="G29" s="265">
        <f>F29*E29</f>
        <v>2671.614883442935</v>
      </c>
    </row>
    <row r="30" spans="1:7" ht="14.25">
      <c r="A30" s="338">
        <v>14</v>
      </c>
      <c r="B30" s="519" t="s">
        <v>248</v>
      </c>
      <c r="C30" s="587"/>
      <c r="D30" s="338" t="s">
        <v>1061</v>
      </c>
      <c r="E30" s="588">
        <f>1.1*1400*1.27*1.0891*1.086275*1.1112*1.0685</f>
        <v>2747.2535526857114</v>
      </c>
      <c r="F30" s="338">
        <v>1</v>
      </c>
      <c r="G30" s="265">
        <f>F30*E30</f>
        <v>2747.2535526857114</v>
      </c>
    </row>
    <row r="31" spans="1:9" ht="18" customHeight="1">
      <c r="A31" s="338">
        <v>15</v>
      </c>
      <c r="B31" s="519" t="s">
        <v>782</v>
      </c>
      <c r="C31" s="338"/>
      <c r="D31" s="338"/>
      <c r="E31" s="518"/>
      <c r="F31" s="518"/>
      <c r="G31" s="339">
        <v>15162.64</v>
      </c>
      <c r="H31" s="483"/>
      <c r="I31" s="483"/>
    </row>
    <row r="32" spans="1:7" ht="44.25" customHeight="1">
      <c r="A32" s="517">
        <v>16</v>
      </c>
      <c r="B32" s="519" t="s">
        <v>783</v>
      </c>
      <c r="C32" s="517"/>
      <c r="D32" s="517"/>
      <c r="E32" s="589"/>
      <c r="F32" s="337"/>
      <c r="G32" s="265">
        <f>1.1*1.1*1912*1.2*1.1*1.1797*1.1402*0.9368</f>
        <v>3848.1029962347097</v>
      </c>
    </row>
    <row r="33" spans="1:8" ht="15">
      <c r="A33" s="581">
        <v>17</v>
      </c>
      <c r="B33" s="552" t="s">
        <v>772</v>
      </c>
      <c r="C33" s="517"/>
      <c r="D33" s="517"/>
      <c r="E33" s="589"/>
      <c r="F33" s="337"/>
      <c r="G33" s="580">
        <f>G27+G28+G29+G30+G31+G32</f>
        <v>233004.26196836337</v>
      </c>
      <c r="H33" s="590"/>
    </row>
    <row r="34" spans="1:8" ht="44.25" customHeight="1">
      <c r="A34" s="517">
        <v>18</v>
      </c>
      <c r="B34" s="262" t="s">
        <v>773</v>
      </c>
      <c r="C34" s="517"/>
      <c r="D34" s="517"/>
      <c r="E34" s="265">
        <v>0.11</v>
      </c>
      <c r="F34" s="337"/>
      <c r="G34" s="265">
        <f>G27*E34</f>
        <v>21048.817944000002</v>
      </c>
      <c r="H34" s="590"/>
    </row>
    <row r="35" spans="1:7" ht="14.25">
      <c r="A35" s="338">
        <v>19</v>
      </c>
      <c r="B35" s="519" t="s">
        <v>655</v>
      </c>
      <c r="C35" s="338"/>
      <c r="D35" s="338"/>
      <c r="E35" s="518"/>
      <c r="F35" s="518"/>
      <c r="G35" s="339">
        <f>G33+G34</f>
        <v>254053.07991236338</v>
      </c>
    </row>
    <row r="36" spans="1:7" ht="17.25" customHeight="1">
      <c r="A36" s="135">
        <v>20</v>
      </c>
      <c r="B36" s="591" t="s">
        <v>656</v>
      </c>
      <c r="C36" s="198"/>
      <c r="D36" s="198"/>
      <c r="E36" s="592"/>
      <c r="F36" s="592"/>
      <c r="G36" s="240">
        <f>ROUND(G35,0)</f>
        <v>254053</v>
      </c>
    </row>
    <row r="37" spans="1:7" ht="13.5" customHeight="1">
      <c r="A37" s="283"/>
      <c r="B37" s="593"/>
      <c r="C37" s="594"/>
      <c r="D37" s="594"/>
      <c r="E37" s="595"/>
      <c r="F37" s="595"/>
      <c r="G37" s="596"/>
    </row>
    <row r="38" spans="1:8" ht="29.25" customHeight="1">
      <c r="A38" s="1455" t="s">
        <v>784</v>
      </c>
      <c r="B38" s="1456"/>
      <c r="C38" s="1456"/>
      <c r="D38" s="1456"/>
      <c r="E38" s="1456"/>
      <c r="F38" s="1456"/>
      <c r="G38" s="1457"/>
      <c r="H38" s="501"/>
    </row>
    <row r="39" spans="2:4" ht="15.75" customHeight="1">
      <c r="B39" s="56"/>
      <c r="C39" s="375"/>
      <c r="D39" s="597"/>
    </row>
    <row r="40" ht="15" customHeight="1">
      <c r="A40" s="179"/>
    </row>
    <row r="41" spans="1:5" ht="16.5" customHeight="1">
      <c r="A41" s="575"/>
      <c r="B41" s="575"/>
      <c r="C41" s="575"/>
      <c r="D41" s="575"/>
      <c r="E41" s="575"/>
    </row>
    <row r="42" spans="1:5" ht="12.75" customHeight="1">
      <c r="A42" s="575"/>
      <c r="B42" s="575"/>
      <c r="C42" s="575"/>
      <c r="D42" s="575"/>
      <c r="E42" s="575"/>
    </row>
    <row r="51" spans="2:4" ht="15.75">
      <c r="B51" s="916" t="s">
        <v>904</v>
      </c>
      <c r="D51" s="79"/>
    </row>
    <row r="52" spans="2:4" ht="12.75">
      <c r="B52" s="2"/>
      <c r="D52" s="79"/>
    </row>
    <row r="53" spans="2:4" ht="14.25">
      <c r="B53" s="526" t="s">
        <v>1961</v>
      </c>
      <c r="C53" s="511">
        <v>7130820158</v>
      </c>
      <c r="D53" s="523" t="s">
        <v>1130</v>
      </c>
    </row>
  </sheetData>
  <sheetProtection/>
  <mergeCells count="9">
    <mergeCell ref="A20:A26"/>
    <mergeCell ref="A38:G38"/>
    <mergeCell ref="B2:D2"/>
    <mergeCell ref="A4:G4"/>
    <mergeCell ref="A10:A12"/>
    <mergeCell ref="B1:D1"/>
    <mergeCell ref="F2:G2"/>
    <mergeCell ref="A3:G3"/>
    <mergeCell ref="A17:A18"/>
  </mergeCells>
  <printOptions horizontalCentered="1"/>
  <pageMargins left="1.21" right="0.17" top="0.67" bottom="0.19" header="0.61" footer="0.16"/>
  <pageSetup horizontalDpi="600" verticalDpi="600" orientation="landscape" paperSize="9" scale="135" r:id="rId2"/>
  <drawing r:id="rId1"/>
</worksheet>
</file>

<file path=xl/worksheets/sheet21.xml><?xml version="1.0" encoding="utf-8"?>
<worksheet xmlns="http://schemas.openxmlformats.org/spreadsheetml/2006/main" xmlns:r="http://schemas.openxmlformats.org/officeDocument/2006/relationships">
  <sheetPr>
    <tabColor indexed="11"/>
  </sheetPr>
  <dimension ref="A1:N36"/>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5.8515625" style="79" customWidth="1"/>
    <col min="2" max="2" width="3.57421875" style="2" customWidth="1"/>
    <col min="3" max="3" width="39.7109375" style="2" customWidth="1"/>
    <col min="4" max="4" width="12.57421875" style="18" customWidth="1"/>
    <col min="5" max="5" width="5.7109375" style="598" customWidth="1"/>
    <col min="6" max="6" width="11.00390625" style="2" customWidth="1"/>
    <col min="7" max="7" width="5.00390625" style="2" customWidth="1"/>
    <col min="8" max="8" width="11.7109375" style="2" customWidth="1"/>
    <col min="9" max="9" width="13.57421875" style="2" customWidth="1"/>
    <col min="10" max="10" width="9.8515625" style="2" customWidth="1"/>
    <col min="11" max="11" width="8.57421875" style="2" customWidth="1"/>
    <col min="12" max="12" width="50.57421875" style="2" bestFit="1" customWidth="1"/>
    <col min="13" max="13" width="14.28125" style="2" customWidth="1"/>
    <col min="14" max="14" width="5.7109375" style="2" bestFit="1" customWidth="1"/>
    <col min="15" max="15" width="9.57421875" style="2" bestFit="1" customWidth="1"/>
    <col min="16" max="16" width="5.57421875" style="2" bestFit="1" customWidth="1"/>
    <col min="17" max="17" width="12.7109375" style="2" customWidth="1"/>
    <col min="18" max="18" width="9.140625" style="2" customWidth="1"/>
    <col min="19" max="19" width="25.140625" style="2" customWidth="1"/>
    <col min="20" max="16384" width="9.140625" style="2" customWidth="1"/>
  </cols>
  <sheetData>
    <row r="1" spans="2:8" ht="18">
      <c r="B1" s="126"/>
      <c r="C1" s="1279" t="s">
        <v>785</v>
      </c>
      <c r="D1" s="1279"/>
      <c r="E1" s="1279"/>
      <c r="F1" s="126"/>
      <c r="G1" s="126"/>
      <c r="H1" s="126"/>
    </row>
    <row r="2" spans="1:8" ht="12.75" customHeight="1">
      <c r="A2" s="599"/>
      <c r="B2" s="599"/>
      <c r="C2" s="599"/>
      <c r="D2" s="599"/>
      <c r="E2" s="599"/>
      <c r="F2" s="599"/>
      <c r="G2" s="599"/>
      <c r="H2" s="897" t="s">
        <v>1153</v>
      </c>
    </row>
    <row r="3" spans="2:8" ht="15.75">
      <c r="B3" s="292"/>
      <c r="C3" s="1458" t="s">
        <v>786</v>
      </c>
      <c r="D3" s="1458"/>
      <c r="E3" s="1458"/>
      <c r="F3" s="292"/>
      <c r="G3" s="292"/>
      <c r="H3" s="292"/>
    </row>
    <row r="4" spans="1:8" ht="6.75" customHeight="1">
      <c r="A4" s="76"/>
      <c r="B4" s="76"/>
      <c r="C4" s="76"/>
      <c r="D4" s="76"/>
      <c r="E4" s="76"/>
      <c r="F4" s="76"/>
      <c r="G4" s="76"/>
      <c r="H4" s="76"/>
    </row>
    <row r="5" spans="1:8" ht="27" customHeight="1">
      <c r="A5" s="283" t="s">
        <v>1947</v>
      </c>
      <c r="B5" s="1463" t="s">
        <v>1057</v>
      </c>
      <c r="C5" s="1464"/>
      <c r="D5" s="600" t="s">
        <v>1331</v>
      </c>
      <c r="E5" s="283" t="s">
        <v>1058</v>
      </c>
      <c r="F5" s="283" t="s">
        <v>1018</v>
      </c>
      <c r="G5" s="283" t="s">
        <v>660</v>
      </c>
      <c r="H5" s="283" t="s">
        <v>1019</v>
      </c>
    </row>
    <row r="6" spans="1:8" ht="12.75">
      <c r="A6" s="284">
        <v>1</v>
      </c>
      <c r="B6" s="1432">
        <v>2</v>
      </c>
      <c r="C6" s="1433"/>
      <c r="D6" s="284">
        <v>3</v>
      </c>
      <c r="E6" s="284">
        <v>4</v>
      </c>
      <c r="F6" s="284">
        <v>5</v>
      </c>
      <c r="G6" s="284">
        <v>6</v>
      </c>
      <c r="H6" s="284">
        <v>7</v>
      </c>
    </row>
    <row r="7" spans="1:8" ht="12.75">
      <c r="A7" s="1415">
        <v>1</v>
      </c>
      <c r="B7" s="289"/>
      <c r="C7" s="601" t="s">
        <v>787</v>
      </c>
      <c r="D7" s="602"/>
      <c r="E7" s="279" t="s">
        <v>1061</v>
      </c>
      <c r="F7" s="287">
        <f>H8+H9+H10</f>
        <v>323243</v>
      </c>
      <c r="G7" s="279">
        <v>1</v>
      </c>
      <c r="H7" s="603"/>
    </row>
    <row r="8" spans="1:8" ht="12.75">
      <c r="A8" s="1416"/>
      <c r="B8" s="279" t="s">
        <v>1582</v>
      </c>
      <c r="C8" s="604" t="s">
        <v>788</v>
      </c>
      <c r="D8" s="398">
        <v>7131943380</v>
      </c>
      <c r="E8" s="279" t="s">
        <v>1061</v>
      </c>
      <c r="F8" s="280">
        <f>VLOOKUP(D8,'SOR RATE'!A:D,4,0)</f>
        <v>226584</v>
      </c>
      <c r="G8" s="279">
        <v>1</v>
      </c>
      <c r="H8" s="280">
        <f>G8*F8</f>
        <v>226584</v>
      </c>
    </row>
    <row r="9" spans="1:12" ht="14.25">
      <c r="A9" s="1416"/>
      <c r="B9" s="279" t="s">
        <v>998</v>
      </c>
      <c r="C9" s="604" t="s">
        <v>789</v>
      </c>
      <c r="D9" s="398">
        <v>7131960524</v>
      </c>
      <c r="E9" s="279" t="s">
        <v>1061</v>
      </c>
      <c r="F9" s="280">
        <f>VLOOKUP(D9,'SOR RATE'!A:D,4,0)</f>
        <v>39815</v>
      </c>
      <c r="G9" s="279">
        <v>1</v>
      </c>
      <c r="H9" s="280">
        <f>G9*F9</f>
        <v>39815</v>
      </c>
      <c r="L9" s="694"/>
    </row>
    <row r="10" spans="1:8" ht="12.75">
      <c r="A10" s="1416"/>
      <c r="B10" s="279" t="s">
        <v>1000</v>
      </c>
      <c r="C10" s="604" t="s">
        <v>790</v>
      </c>
      <c r="D10" s="398">
        <v>7132230263</v>
      </c>
      <c r="E10" s="279" t="s">
        <v>1061</v>
      </c>
      <c r="F10" s="280">
        <f>VLOOKUP(D10,'SOR RATE'!A:D,4,0)</f>
        <v>18948</v>
      </c>
      <c r="G10" s="279">
        <v>3</v>
      </c>
      <c r="H10" s="280">
        <f>G10*F10</f>
        <v>56844</v>
      </c>
    </row>
    <row r="11" spans="1:10" ht="12.75">
      <c r="A11" s="1417"/>
      <c r="B11" s="279" t="s">
        <v>1002</v>
      </c>
      <c r="C11" s="278" t="s">
        <v>1571</v>
      </c>
      <c r="D11" s="255">
        <v>7130352046</v>
      </c>
      <c r="E11" s="251" t="s">
        <v>1061</v>
      </c>
      <c r="F11" s="280">
        <f>VLOOKUP(D11,'SOR RATE'!A:D,4,0)</f>
        <v>3096</v>
      </c>
      <c r="G11" s="279">
        <v>1</v>
      </c>
      <c r="H11" s="280">
        <f>G11*F11</f>
        <v>3096</v>
      </c>
      <c r="I11" s="209"/>
      <c r="J11" s="104"/>
    </row>
    <row r="12" spans="1:8" ht="12.75">
      <c r="A12" s="1415">
        <v>2</v>
      </c>
      <c r="B12" s="289"/>
      <c r="C12" s="601" t="s">
        <v>791</v>
      </c>
      <c r="D12" s="398"/>
      <c r="E12" s="279" t="s">
        <v>1065</v>
      </c>
      <c r="F12" s="280"/>
      <c r="G12" s="284">
        <v>7</v>
      </c>
      <c r="H12" s="280"/>
    </row>
    <row r="13" spans="1:8" ht="12.75">
      <c r="A13" s="1417"/>
      <c r="B13" s="279" t="s">
        <v>1582</v>
      </c>
      <c r="C13" s="604" t="s">
        <v>792</v>
      </c>
      <c r="D13" s="398">
        <v>7130200401</v>
      </c>
      <c r="E13" s="279" t="s">
        <v>1070</v>
      </c>
      <c r="F13" s="280">
        <f>VLOOKUP(D13,'SOR RATE'!A:D,4,0)/50</f>
        <v>5.36</v>
      </c>
      <c r="G13" s="279">
        <v>1456</v>
      </c>
      <c r="H13" s="280">
        <f>G13*F13</f>
        <v>7804.160000000001</v>
      </c>
    </row>
    <row r="14" spans="1:8" ht="12.75">
      <c r="A14" s="1354">
        <v>3</v>
      </c>
      <c r="B14" s="289"/>
      <c r="C14" s="601" t="s">
        <v>793</v>
      </c>
      <c r="D14" s="605"/>
      <c r="E14" s="606"/>
      <c r="F14" s="606"/>
      <c r="G14" s="606"/>
      <c r="H14" s="607"/>
    </row>
    <row r="15" spans="1:8" ht="12.75">
      <c r="A15" s="1462"/>
      <c r="B15" s="249" t="s">
        <v>1556</v>
      </c>
      <c r="C15" s="609" t="s">
        <v>1557</v>
      </c>
      <c r="D15" s="398">
        <v>7130310658</v>
      </c>
      <c r="E15" s="279" t="s">
        <v>1322</v>
      </c>
      <c r="F15" s="280">
        <f>VLOOKUP(D15,'SOR RATE'!A:D,4,0)/1000</f>
        <v>125.719</v>
      </c>
      <c r="G15" s="279">
        <v>60</v>
      </c>
      <c r="H15" s="280">
        <f>G15*F15</f>
        <v>7543.139999999999</v>
      </c>
    </row>
    <row r="16" spans="1:8" ht="12.75">
      <c r="A16" s="1462"/>
      <c r="B16" s="249" t="s">
        <v>1558</v>
      </c>
      <c r="C16" s="609" t="s">
        <v>1559</v>
      </c>
      <c r="D16" s="398">
        <v>7130310654</v>
      </c>
      <c r="E16" s="279" t="s">
        <v>1322</v>
      </c>
      <c r="F16" s="280">
        <f>VLOOKUP(D16,'SOR RATE'!A:D,4,0)/1000</f>
        <v>67.671</v>
      </c>
      <c r="G16" s="279">
        <v>120</v>
      </c>
      <c r="H16" s="280">
        <f>G16*F16</f>
        <v>8120.52</v>
      </c>
    </row>
    <row r="17" spans="1:8" ht="12.75">
      <c r="A17" s="1355"/>
      <c r="B17" s="249" t="s">
        <v>1560</v>
      </c>
      <c r="C17" s="609" t="s">
        <v>1591</v>
      </c>
      <c r="D17" s="398">
        <v>7130310652</v>
      </c>
      <c r="E17" s="279" t="s">
        <v>1322</v>
      </c>
      <c r="F17" s="280">
        <f>VLOOKUP(D17,'SOR RATE'!A:D,4,0)/1000</f>
        <v>39.708</v>
      </c>
      <c r="G17" s="279">
        <v>60</v>
      </c>
      <c r="H17" s="280">
        <f>G17*F17</f>
        <v>2382.48</v>
      </c>
    </row>
    <row r="18" spans="1:8" ht="12.75">
      <c r="A18" s="279">
        <v>4</v>
      </c>
      <c r="B18" s="289"/>
      <c r="C18" s="609" t="s">
        <v>794</v>
      </c>
      <c r="D18" s="398">
        <v>7130830585</v>
      </c>
      <c r="E18" s="430" t="s">
        <v>1061</v>
      </c>
      <c r="F18" s="280">
        <f>VLOOKUP(D18,'SOR RATE'!A:D,4,0)</f>
        <v>239</v>
      </c>
      <c r="G18" s="279">
        <v>6</v>
      </c>
      <c r="H18" s="280">
        <f>G18*F18</f>
        <v>1434</v>
      </c>
    </row>
    <row r="19" spans="1:8" ht="12.75">
      <c r="A19" s="279">
        <v>5</v>
      </c>
      <c r="B19" s="289"/>
      <c r="C19" s="609" t="s">
        <v>795</v>
      </c>
      <c r="D19" s="398">
        <v>7130830585</v>
      </c>
      <c r="E19" s="430" t="s">
        <v>1061</v>
      </c>
      <c r="F19" s="280">
        <f>VLOOKUP(D19,'SOR RATE'!A:D,4,0)</f>
        <v>239</v>
      </c>
      <c r="G19" s="279">
        <v>6</v>
      </c>
      <c r="H19" s="280">
        <f>G19*F19</f>
        <v>1434</v>
      </c>
    </row>
    <row r="20" spans="1:10" ht="15" customHeight="1">
      <c r="A20" s="284">
        <v>6</v>
      </c>
      <c r="B20" s="384"/>
      <c r="C20" s="491" t="s">
        <v>771</v>
      </c>
      <c r="D20" s="610"/>
      <c r="E20" s="506"/>
      <c r="F20" s="284"/>
      <c r="G20" s="284"/>
      <c r="H20" s="285">
        <f>SUM(H8:H19)</f>
        <v>355057.3</v>
      </c>
      <c r="I20" s="583"/>
      <c r="J20" s="584"/>
    </row>
    <row r="21" spans="1:10" ht="15.75" customHeight="1">
      <c r="A21" s="279">
        <v>7</v>
      </c>
      <c r="B21" s="289"/>
      <c r="C21" s="463" t="s">
        <v>770</v>
      </c>
      <c r="D21" s="610"/>
      <c r="E21" s="430"/>
      <c r="F21" s="270">
        <v>0.09</v>
      </c>
      <c r="G21" s="270"/>
      <c r="H21" s="271">
        <f>H20*F21</f>
        <v>31955.157</v>
      </c>
      <c r="I21" s="583"/>
      <c r="J21" s="584"/>
    </row>
    <row r="22" spans="1:8" ht="12.75">
      <c r="A22" s="279">
        <v>8</v>
      </c>
      <c r="B22" s="289"/>
      <c r="C22" s="609" t="s">
        <v>796</v>
      </c>
      <c r="D22" s="610"/>
      <c r="E22" s="430" t="s">
        <v>1065</v>
      </c>
      <c r="F22" s="280">
        <f>1664*1.27*1.0891*1.086275*1.1112*1.0685</f>
        <v>2968.460981603261</v>
      </c>
      <c r="G22" s="279">
        <v>7</v>
      </c>
      <c r="H22" s="280">
        <f>G22*F22</f>
        <v>20779.22687122283</v>
      </c>
    </row>
    <row r="23" spans="1:12" ht="14.25" customHeight="1">
      <c r="A23" s="279">
        <v>9</v>
      </c>
      <c r="B23" s="289"/>
      <c r="C23" s="273" t="s">
        <v>797</v>
      </c>
      <c r="D23" s="610"/>
      <c r="E23" s="430"/>
      <c r="F23" s="280"/>
      <c r="G23" s="279"/>
      <c r="H23" s="280">
        <v>5736.04</v>
      </c>
      <c r="I23" s="611"/>
      <c r="J23" s="207"/>
      <c r="K23" s="207"/>
      <c r="L23" s="612"/>
    </row>
    <row r="24" spans="1:14" ht="15.75">
      <c r="A24" s="270">
        <v>10</v>
      </c>
      <c r="B24" s="289"/>
      <c r="C24" s="272" t="s">
        <v>798</v>
      </c>
      <c r="D24" s="613"/>
      <c r="E24" s="614"/>
      <c r="F24" s="270"/>
      <c r="G24" s="270"/>
      <c r="H24" s="271">
        <f>6166.52*1.1402*0.9368</f>
        <v>6586.702726227201</v>
      </c>
      <c r="I24" s="615"/>
      <c r="J24" s="44"/>
      <c r="K24" s="44"/>
      <c r="L24" s="44"/>
      <c r="M24" s="44"/>
      <c r="N24" s="44"/>
    </row>
    <row r="25" spans="1:14" ht="15.75">
      <c r="A25" s="283">
        <v>11</v>
      </c>
      <c r="B25" s="289"/>
      <c r="C25" s="491" t="s">
        <v>772</v>
      </c>
      <c r="D25" s="610"/>
      <c r="E25" s="430"/>
      <c r="F25" s="279"/>
      <c r="G25" s="279"/>
      <c r="H25" s="285">
        <f>H20+H21+H22+H23+H24</f>
        <v>420114.42659745</v>
      </c>
      <c r="I25" s="590"/>
      <c r="J25" s="157"/>
      <c r="K25" s="157"/>
      <c r="L25" s="157"/>
      <c r="M25" s="157"/>
      <c r="N25" s="157"/>
    </row>
    <row r="26" spans="1:14" ht="27" customHeight="1">
      <c r="A26" s="270">
        <v>12</v>
      </c>
      <c r="B26" s="289"/>
      <c r="C26" s="463" t="s">
        <v>773</v>
      </c>
      <c r="D26" s="610"/>
      <c r="E26" s="430"/>
      <c r="F26" s="270">
        <v>0.11</v>
      </c>
      <c r="G26" s="270"/>
      <c r="H26" s="271">
        <f>H20*F26</f>
        <v>39056.303</v>
      </c>
      <c r="I26" s="590"/>
      <c r="J26" s="157"/>
      <c r="K26" s="157"/>
      <c r="L26" s="157"/>
      <c r="M26" s="157"/>
      <c r="N26" s="157"/>
    </row>
    <row r="27" spans="1:8" ht="12.75">
      <c r="A27" s="270">
        <v>13</v>
      </c>
      <c r="B27" s="289"/>
      <c r="C27" s="609" t="s">
        <v>799</v>
      </c>
      <c r="D27" s="610"/>
      <c r="E27" s="430"/>
      <c r="F27" s="270"/>
      <c r="G27" s="270"/>
      <c r="H27" s="271">
        <f>H25+H26</f>
        <v>459170.72959745</v>
      </c>
    </row>
    <row r="28" spans="1:8" ht="16.5" customHeight="1">
      <c r="A28" s="358">
        <v>14</v>
      </c>
      <c r="B28" s="616"/>
      <c r="C28" s="617" t="s">
        <v>800</v>
      </c>
      <c r="D28" s="618"/>
      <c r="E28" s="358"/>
      <c r="F28" s="358"/>
      <c r="G28" s="358"/>
      <c r="H28" s="359">
        <f>ROUND(H27,0)</f>
        <v>459171</v>
      </c>
    </row>
    <row r="30" spans="1:3" ht="15">
      <c r="A30" s="575"/>
      <c r="B30" s="575"/>
      <c r="C30" s="575"/>
    </row>
    <row r="31" ht="12.75">
      <c r="A31" s="179"/>
    </row>
    <row r="32" spans="1:14" ht="12.75" customHeight="1">
      <c r="A32" s="179"/>
      <c r="K32" s="575"/>
      <c r="L32" s="575"/>
      <c r="M32" s="575"/>
      <c r="N32" s="575"/>
    </row>
    <row r="33" spans="1:14" ht="12.75" customHeight="1">
      <c r="A33" s="179"/>
      <c r="J33" s="575"/>
      <c r="K33" s="575"/>
      <c r="L33" s="575"/>
      <c r="M33" s="575"/>
      <c r="N33" s="575"/>
    </row>
    <row r="34" ht="12.75">
      <c r="A34" s="179"/>
    </row>
    <row r="35" ht="12.75">
      <c r="A35" s="179"/>
    </row>
    <row r="36" ht="12.75">
      <c r="A36" s="179"/>
    </row>
  </sheetData>
  <sheetProtection/>
  <mergeCells count="7">
    <mergeCell ref="A14:A17"/>
    <mergeCell ref="C1:E1"/>
    <mergeCell ref="C3:E3"/>
    <mergeCell ref="B5:C5"/>
    <mergeCell ref="B6:C6"/>
    <mergeCell ref="A7:A11"/>
    <mergeCell ref="A12:A13"/>
  </mergeCells>
  <printOptions horizontalCentered="1"/>
  <pageMargins left="1" right="0.19" top="0.7" bottom="0.22" header="0.5" footer="0.16"/>
  <pageSetup horizontalDpi="600" verticalDpi="600" orientation="landscape" paperSize="9" scale="134" r:id="rId2"/>
  <drawing r:id="rId1"/>
</worksheet>
</file>

<file path=xl/worksheets/sheet22.xml><?xml version="1.0" encoding="utf-8"?>
<worksheet xmlns="http://schemas.openxmlformats.org/spreadsheetml/2006/main" xmlns:r="http://schemas.openxmlformats.org/officeDocument/2006/relationships">
  <sheetPr>
    <tabColor indexed="11"/>
  </sheetPr>
  <dimension ref="A1:O4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2.75"/>
  <cols>
    <col min="1" max="1" width="5.57421875" style="79" customWidth="1"/>
    <col min="2" max="2" width="34.7109375" style="2" customWidth="1"/>
    <col min="3" max="3" width="14.00390625" style="18" customWidth="1"/>
    <col min="4" max="4" width="6.421875" style="598" customWidth="1"/>
    <col min="5" max="5" width="10.28125" style="2" customWidth="1"/>
    <col min="6" max="6" width="7.28125" style="2" customWidth="1"/>
    <col min="7" max="7" width="11.8515625" style="2" customWidth="1"/>
    <col min="8" max="8" width="14.8515625" style="2" customWidth="1"/>
    <col min="9" max="10" width="9.140625" style="2" customWidth="1"/>
    <col min="11" max="11" width="9.7109375" style="2" bestFit="1" customWidth="1"/>
    <col min="12" max="16384" width="9.140625" style="2" customWidth="1"/>
  </cols>
  <sheetData>
    <row r="1" spans="2:15" ht="21" customHeight="1">
      <c r="B1" s="1279" t="s">
        <v>889</v>
      </c>
      <c r="C1" s="1279"/>
      <c r="D1" s="1279"/>
      <c r="E1" s="126"/>
      <c r="F1" s="126"/>
      <c r="G1" s="126"/>
      <c r="M1" s="1466"/>
      <c r="N1" s="1466"/>
      <c r="O1" s="1466"/>
    </row>
    <row r="2" spans="2:7" ht="15.75" customHeight="1">
      <c r="B2" s="81"/>
      <c r="C2" s="81"/>
      <c r="D2" s="81"/>
      <c r="E2" s="126"/>
      <c r="F2" s="126"/>
      <c r="G2" s="126"/>
    </row>
    <row r="3" spans="1:7" ht="32.25" customHeight="1">
      <c r="A3" s="1290" t="s">
        <v>801</v>
      </c>
      <c r="B3" s="1467"/>
      <c r="C3" s="1467"/>
      <c r="D3" s="1467"/>
      <c r="E3" s="1467"/>
      <c r="F3" s="1467"/>
      <c r="G3" s="1467"/>
    </row>
    <row r="4" spans="1:7" ht="15">
      <c r="A4" s="1468"/>
      <c r="B4" s="1468"/>
      <c r="C4" s="1468"/>
      <c r="D4" s="1468"/>
      <c r="E4" s="1468"/>
      <c r="F4" s="1468"/>
      <c r="G4" s="1468"/>
    </row>
    <row r="5" spans="1:7" ht="15">
      <c r="A5" s="179"/>
      <c r="B5" s="145"/>
      <c r="C5" s="619"/>
      <c r="D5" s="578"/>
      <c r="E5" s="145"/>
      <c r="F5" s="145"/>
      <c r="G5" s="897" t="s">
        <v>1153</v>
      </c>
    </row>
    <row r="6" spans="1:9" ht="12.75">
      <c r="A6" s="179"/>
      <c r="B6" s="145"/>
      <c r="C6" s="619"/>
      <c r="D6" s="578"/>
      <c r="E6" s="145"/>
      <c r="F6" s="145"/>
      <c r="G6" s="569"/>
      <c r="H6" s="145"/>
      <c r="I6" s="145"/>
    </row>
    <row r="7" spans="1:7" ht="30.75" customHeight="1">
      <c r="A7" s="223" t="s">
        <v>1947</v>
      </c>
      <c r="B7" s="135" t="s">
        <v>1057</v>
      </c>
      <c r="C7" s="223" t="s">
        <v>1331</v>
      </c>
      <c r="D7" s="135" t="s">
        <v>1058</v>
      </c>
      <c r="E7" s="135" t="s">
        <v>1018</v>
      </c>
      <c r="F7" s="135" t="s">
        <v>660</v>
      </c>
      <c r="G7" s="135" t="s">
        <v>1019</v>
      </c>
    </row>
    <row r="8" spans="1:7" ht="15">
      <c r="A8" s="83">
        <v>1</v>
      </c>
      <c r="B8" s="83">
        <v>2</v>
      </c>
      <c r="C8" s="83">
        <v>3</v>
      </c>
      <c r="D8" s="83">
        <v>4</v>
      </c>
      <c r="E8" s="83">
        <v>5</v>
      </c>
      <c r="F8" s="83">
        <v>6</v>
      </c>
      <c r="G8" s="83">
        <v>7</v>
      </c>
    </row>
    <row r="9" spans="1:11" ht="33" customHeight="1">
      <c r="A9" s="234">
        <v>1</v>
      </c>
      <c r="B9" s="267" t="s">
        <v>802</v>
      </c>
      <c r="C9" s="238">
        <v>7131930221</v>
      </c>
      <c r="D9" s="234" t="s">
        <v>1061</v>
      </c>
      <c r="E9" s="236">
        <f>VLOOKUP(C9,'SOR RATE'!A396:D396,4,0)</f>
        <v>12911</v>
      </c>
      <c r="F9" s="234">
        <v>1</v>
      </c>
      <c r="G9" s="236">
        <f aca="true" t="shared" si="0" ref="G9:G14">F9*E9</f>
        <v>12911</v>
      </c>
      <c r="K9" s="620"/>
    </row>
    <row r="10" spans="1:9" ht="28.5">
      <c r="A10" s="234">
        <v>2</v>
      </c>
      <c r="B10" s="267" t="s">
        <v>1989</v>
      </c>
      <c r="C10" s="238">
        <v>7130820008</v>
      </c>
      <c r="D10" s="234" t="s">
        <v>1130</v>
      </c>
      <c r="E10" s="236">
        <f>VLOOKUP(C10,'SOR RATE'!A:D,4,0)</f>
        <v>157</v>
      </c>
      <c r="F10" s="234">
        <v>3</v>
      </c>
      <c r="G10" s="236">
        <f t="shared" si="0"/>
        <v>471</v>
      </c>
      <c r="I10" s="2" t="s">
        <v>1990</v>
      </c>
    </row>
    <row r="11" spans="1:7" ht="34.5" customHeight="1">
      <c r="A11" s="234">
        <v>3</v>
      </c>
      <c r="B11" s="267" t="s">
        <v>803</v>
      </c>
      <c r="C11" s="238">
        <v>7130830057</v>
      </c>
      <c r="D11" s="234" t="s">
        <v>1322</v>
      </c>
      <c r="E11" s="236">
        <f>VLOOKUP(C11,'SOR RATE'!A:D,4,0)/1000</f>
        <v>33.544</v>
      </c>
      <c r="F11" s="299">
        <v>20</v>
      </c>
      <c r="G11" s="236">
        <f t="shared" si="0"/>
        <v>670.8799999999999</v>
      </c>
    </row>
    <row r="12" spans="1:7" ht="17.25" customHeight="1">
      <c r="A12" s="234">
        <v>4</v>
      </c>
      <c r="B12" s="621" t="s">
        <v>795</v>
      </c>
      <c r="C12" s="238">
        <v>7130830586</v>
      </c>
      <c r="D12" s="234" t="s">
        <v>1061</v>
      </c>
      <c r="E12" s="236">
        <f>VLOOKUP(C12,'SOR RATE'!A:D,4,0)</f>
        <v>191</v>
      </c>
      <c r="F12" s="234">
        <v>6</v>
      </c>
      <c r="G12" s="236">
        <f t="shared" si="0"/>
        <v>1146</v>
      </c>
    </row>
    <row r="13" spans="1:7" ht="14.25">
      <c r="A13" s="234">
        <v>5</v>
      </c>
      <c r="B13" s="621" t="s">
        <v>804</v>
      </c>
      <c r="C13" s="238">
        <v>7130810692</v>
      </c>
      <c r="D13" s="234" t="s">
        <v>1061</v>
      </c>
      <c r="E13" s="236">
        <f>VLOOKUP(C13,'SOR RATE'!A:D,4,0)</f>
        <v>294</v>
      </c>
      <c r="F13" s="234">
        <v>4</v>
      </c>
      <c r="G13" s="236">
        <f t="shared" si="0"/>
        <v>1176</v>
      </c>
    </row>
    <row r="14" spans="1:7" ht="15" customHeight="1">
      <c r="A14" s="234">
        <v>6</v>
      </c>
      <c r="B14" s="621" t="s">
        <v>805</v>
      </c>
      <c r="C14" s="238">
        <v>7130830006</v>
      </c>
      <c r="D14" s="234" t="s">
        <v>1070</v>
      </c>
      <c r="E14" s="236">
        <f>VLOOKUP(C14,'SOR RATE'!A:D,4,0)</f>
        <v>139</v>
      </c>
      <c r="F14" s="236">
        <v>0.4</v>
      </c>
      <c r="G14" s="236">
        <f t="shared" si="0"/>
        <v>55.6</v>
      </c>
    </row>
    <row r="15" spans="1:7" ht="14.25" customHeight="1">
      <c r="A15" s="1469">
        <v>7</v>
      </c>
      <c r="B15" s="568" t="s">
        <v>2024</v>
      </c>
      <c r="C15" s="238"/>
      <c r="D15" s="234" t="s">
        <v>1070</v>
      </c>
      <c r="E15" s="236"/>
      <c r="F15" s="622">
        <v>10</v>
      </c>
      <c r="G15" s="236"/>
    </row>
    <row r="16" spans="1:7" ht="14.25">
      <c r="A16" s="1470"/>
      <c r="B16" s="232" t="s">
        <v>2025</v>
      </c>
      <c r="C16" s="238">
        <v>7130620609</v>
      </c>
      <c r="D16" s="234" t="s">
        <v>1070</v>
      </c>
      <c r="E16" s="236">
        <f>VLOOKUP(C16,'SOR RATE'!A:D,4,0)</f>
        <v>64</v>
      </c>
      <c r="F16" s="299">
        <v>1</v>
      </c>
      <c r="G16" s="236">
        <f>F16*E16</f>
        <v>64</v>
      </c>
    </row>
    <row r="17" spans="1:7" ht="14.25">
      <c r="A17" s="1470"/>
      <c r="B17" s="232" t="s">
        <v>2026</v>
      </c>
      <c r="C17" s="238">
        <v>7130620614</v>
      </c>
      <c r="D17" s="234" t="s">
        <v>1070</v>
      </c>
      <c r="E17" s="236">
        <f>VLOOKUP(C17,'SOR RATE'!A:D,4,0)</f>
        <v>63</v>
      </c>
      <c r="F17" s="299">
        <v>4</v>
      </c>
      <c r="G17" s="236">
        <f>F17*E17</f>
        <v>252</v>
      </c>
    </row>
    <row r="18" spans="1:7" ht="14.25">
      <c r="A18" s="1470"/>
      <c r="B18" s="232" t="s">
        <v>2027</v>
      </c>
      <c r="C18" s="238">
        <v>7130620619</v>
      </c>
      <c r="D18" s="234" t="s">
        <v>1070</v>
      </c>
      <c r="E18" s="236">
        <f>VLOOKUP(C18,'SOR RATE'!A:D,4,0)</f>
        <v>63</v>
      </c>
      <c r="F18" s="299">
        <v>4</v>
      </c>
      <c r="G18" s="236">
        <f>F18*E18</f>
        <v>252</v>
      </c>
    </row>
    <row r="19" spans="1:7" ht="14.25">
      <c r="A19" s="1471"/>
      <c r="B19" s="232" t="s">
        <v>2028</v>
      </c>
      <c r="C19" s="238">
        <v>7130620627</v>
      </c>
      <c r="D19" s="234" t="s">
        <v>1070</v>
      </c>
      <c r="E19" s="236">
        <f>VLOOKUP(C19,'SOR RATE'!A:D,4,0)</f>
        <v>62</v>
      </c>
      <c r="F19" s="299">
        <v>1</v>
      </c>
      <c r="G19" s="236">
        <f>F19*E19</f>
        <v>62</v>
      </c>
    </row>
    <row r="20" spans="1:9" ht="14.25" customHeight="1">
      <c r="A20" s="135">
        <v>8</v>
      </c>
      <c r="B20" s="239" t="s">
        <v>771</v>
      </c>
      <c r="C20" s="298"/>
      <c r="D20" s="135"/>
      <c r="E20" s="135"/>
      <c r="F20" s="135"/>
      <c r="G20" s="240">
        <f>SUM(G9:G19)</f>
        <v>17060.48</v>
      </c>
      <c r="H20" s="583"/>
      <c r="I20" s="584"/>
    </row>
    <row r="21" spans="1:9" ht="16.5" customHeight="1">
      <c r="A21" s="234">
        <v>9</v>
      </c>
      <c r="B21" s="237" t="s">
        <v>770</v>
      </c>
      <c r="C21" s="298"/>
      <c r="D21" s="234"/>
      <c r="E21" s="234">
        <v>0.09</v>
      </c>
      <c r="F21" s="234"/>
      <c r="G21" s="236">
        <f>G20*E21</f>
        <v>1535.4432</v>
      </c>
      <c r="H21" s="583"/>
      <c r="I21" s="584"/>
    </row>
    <row r="22" spans="1:11" ht="31.5" customHeight="1">
      <c r="A22" s="234">
        <v>10</v>
      </c>
      <c r="B22" s="267" t="s">
        <v>806</v>
      </c>
      <c r="C22" s="298"/>
      <c r="D22" s="234"/>
      <c r="E22" s="234"/>
      <c r="F22" s="234"/>
      <c r="G22" s="236">
        <v>2796.71</v>
      </c>
      <c r="H22" s="623"/>
      <c r="I22" s="624"/>
      <c r="J22" s="624"/>
      <c r="K22" s="625"/>
    </row>
    <row r="23" spans="1:15" ht="15.75">
      <c r="A23" s="234">
        <v>11</v>
      </c>
      <c r="B23" s="621" t="s">
        <v>798</v>
      </c>
      <c r="C23" s="298"/>
      <c r="D23" s="234"/>
      <c r="E23" s="234"/>
      <c r="F23" s="234"/>
      <c r="G23" s="236">
        <f>2359.4*1.1402*0.9368</f>
        <v>2520.1680059840005</v>
      </c>
      <c r="H23" s="615"/>
      <c r="I23" s="44"/>
      <c r="J23" s="44"/>
      <c r="K23" s="44"/>
      <c r="L23" s="44"/>
      <c r="M23" s="44"/>
      <c r="N23" s="44"/>
      <c r="O23" s="44"/>
    </row>
    <row r="24" spans="1:15" ht="15.75">
      <c r="A24" s="135">
        <v>12</v>
      </c>
      <c r="B24" s="239" t="s">
        <v>772</v>
      </c>
      <c r="C24" s="298"/>
      <c r="D24" s="234"/>
      <c r="E24" s="234"/>
      <c r="F24" s="234"/>
      <c r="G24" s="240">
        <f>G20+G21+G22+G23</f>
        <v>23912.801205984</v>
      </c>
      <c r="H24" s="590"/>
      <c r="I24" s="157"/>
      <c r="J24" s="157"/>
      <c r="K24" s="157"/>
      <c r="L24" s="157"/>
      <c r="M24" s="157"/>
      <c r="N24" s="157"/>
      <c r="O24" s="157"/>
    </row>
    <row r="25" spans="1:15" ht="51" customHeight="1">
      <c r="A25" s="234">
        <v>13</v>
      </c>
      <c r="B25" s="237" t="s">
        <v>773</v>
      </c>
      <c r="C25" s="298"/>
      <c r="D25" s="234"/>
      <c r="E25" s="234">
        <v>0.11</v>
      </c>
      <c r="F25" s="234"/>
      <c r="G25" s="236">
        <f>G20*E25</f>
        <v>1876.6528</v>
      </c>
      <c r="H25" s="590"/>
      <c r="I25" s="157"/>
      <c r="J25" s="157"/>
      <c r="K25" s="157"/>
      <c r="L25" s="157"/>
      <c r="M25" s="157"/>
      <c r="N25" s="157"/>
      <c r="O25" s="157"/>
    </row>
    <row r="26" spans="1:7" ht="14.25">
      <c r="A26" s="234">
        <v>14</v>
      </c>
      <c r="B26" s="621" t="s">
        <v>799</v>
      </c>
      <c r="C26" s="298"/>
      <c r="D26" s="234"/>
      <c r="E26" s="234"/>
      <c r="F26" s="234"/>
      <c r="G26" s="236">
        <f>G24+G25</f>
        <v>25789.454005984</v>
      </c>
    </row>
    <row r="27" spans="1:7" ht="17.25" customHeight="1">
      <c r="A27" s="358">
        <v>15</v>
      </c>
      <c r="B27" s="617" t="s">
        <v>800</v>
      </c>
      <c r="C27" s="626"/>
      <c r="D27" s="358"/>
      <c r="E27" s="358"/>
      <c r="F27" s="358"/>
      <c r="G27" s="359">
        <f>ROUND(G26,0)</f>
        <v>25789</v>
      </c>
    </row>
    <row r="29" spans="1:5" ht="18" customHeight="1">
      <c r="A29" s="627"/>
      <c r="B29" s="1465" t="s">
        <v>807</v>
      </c>
      <c r="C29" s="1465"/>
      <c r="D29" s="1465"/>
      <c r="E29" s="1465"/>
    </row>
    <row r="30" spans="1:4" ht="12.75">
      <c r="A30" s="573"/>
      <c r="B30" s="375"/>
      <c r="C30" s="628"/>
      <c r="D30" s="597"/>
    </row>
    <row r="32" spans="1:7" ht="18">
      <c r="A32" s="575"/>
      <c r="B32" s="575"/>
      <c r="C32" s="575"/>
      <c r="D32" s="377"/>
      <c r="E32" s="377"/>
      <c r="F32" s="377"/>
      <c r="G32" s="377"/>
    </row>
    <row r="33" spans="1:7" ht="18">
      <c r="A33" s="575"/>
      <c r="B33" s="575"/>
      <c r="C33" s="575"/>
      <c r="D33" s="377"/>
      <c r="E33" s="377"/>
      <c r="F33" s="377"/>
      <c r="G33" s="377"/>
    </row>
    <row r="34" spans="1:7" ht="18">
      <c r="A34" s="575"/>
      <c r="B34" s="575"/>
      <c r="C34" s="575"/>
      <c r="D34" s="377"/>
      <c r="E34" s="377"/>
      <c r="F34" s="377"/>
      <c r="G34" s="377"/>
    </row>
    <row r="35" spans="1:7" ht="18">
      <c r="A35" s="575"/>
      <c r="B35" s="575"/>
      <c r="C35" s="575"/>
      <c r="D35" s="377"/>
      <c r="E35" s="377"/>
      <c r="F35" s="377"/>
      <c r="G35" s="377"/>
    </row>
    <row r="36" spans="1:7" ht="18">
      <c r="A36" s="575"/>
      <c r="B36" s="575"/>
      <c r="C36" s="575"/>
      <c r="D36" s="377"/>
      <c r="E36" s="377"/>
      <c r="F36" s="377"/>
      <c r="G36" s="377"/>
    </row>
    <row r="37" spans="1:7" ht="18">
      <c r="A37" s="575"/>
      <c r="B37" s="575"/>
      <c r="C37" s="575"/>
      <c r="D37" s="377"/>
      <c r="E37" s="377"/>
      <c r="F37" s="377"/>
      <c r="G37" s="377"/>
    </row>
    <row r="38" spans="1:7" ht="18">
      <c r="A38" s="575"/>
      <c r="B38" s="575"/>
      <c r="C38" s="575"/>
      <c r="D38" s="377"/>
      <c r="E38" s="377"/>
      <c r="F38" s="377"/>
      <c r="G38" s="377"/>
    </row>
    <row r="39" spans="1:7" ht="18">
      <c r="A39" s="575"/>
      <c r="B39" s="575"/>
      <c r="C39" s="575"/>
      <c r="D39" s="377"/>
      <c r="E39" s="377"/>
      <c r="F39" s="377"/>
      <c r="G39" s="377"/>
    </row>
    <row r="47" spans="2:4" ht="15.75">
      <c r="B47" s="916" t="s">
        <v>904</v>
      </c>
      <c r="C47" s="2"/>
      <c r="D47" s="79"/>
    </row>
    <row r="48" spans="3:4" ht="12.75">
      <c r="C48" s="2"/>
      <c r="D48" s="79"/>
    </row>
    <row r="49" spans="2:4" ht="14.25">
      <c r="B49" s="526" t="s">
        <v>1410</v>
      </c>
      <c r="C49" s="511">
        <v>7130820155</v>
      </c>
      <c r="D49" s="523" t="s">
        <v>1130</v>
      </c>
    </row>
  </sheetData>
  <sheetProtection/>
  <mergeCells count="6">
    <mergeCell ref="B29:E29"/>
    <mergeCell ref="M1:O1"/>
    <mergeCell ref="A3:G3"/>
    <mergeCell ref="A4:G4"/>
    <mergeCell ref="A15:A19"/>
    <mergeCell ref="B1:D1"/>
  </mergeCells>
  <printOptions horizontalCentered="1"/>
  <pageMargins left="0.9" right="0.15" top="1.07" bottom="0.44" header="0.82" footer="0.17"/>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tabColor indexed="11"/>
  </sheetPr>
  <dimension ref="A1:N39"/>
  <sheetViews>
    <sheetView zoomScaleSheetLayoutView="85" zoomScalePageLayoutView="0" workbookViewId="0" topLeftCell="A1">
      <pane xSplit="1" ySplit="9" topLeftCell="B10"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1" width="4.140625" style="57" customWidth="1"/>
    <col min="2" max="2" width="43.28125" style="57" customWidth="1"/>
    <col min="3" max="3" width="15.140625" style="666" customWidth="1"/>
    <col min="4" max="4" width="5.28125" style="57" customWidth="1"/>
    <col min="5" max="5" width="10.7109375" style="57" bestFit="1" customWidth="1"/>
    <col min="6" max="6" width="7.00390625" style="57" customWidth="1"/>
    <col min="7" max="7" width="12.421875" style="57" customWidth="1"/>
    <col min="8" max="8" width="6.00390625" style="57" customWidth="1"/>
    <col min="9" max="9" width="11.8515625" style="57" customWidth="1"/>
    <col min="10" max="10" width="7.00390625" style="57" customWidth="1"/>
    <col min="11" max="11" width="11.7109375" style="57" customWidth="1"/>
    <col min="12" max="12" width="14.28125" style="57" customWidth="1"/>
    <col min="13" max="16384" width="9.140625" style="57" customWidth="1"/>
  </cols>
  <sheetData>
    <row r="1" spans="2:11" s="546" customFormat="1" ht="18">
      <c r="B1" s="80"/>
      <c r="C1" s="1279" t="s">
        <v>808</v>
      </c>
      <c r="D1" s="1279"/>
      <c r="E1" s="1279"/>
      <c r="F1" s="1279"/>
      <c r="G1" s="1279"/>
      <c r="H1" s="80"/>
      <c r="I1" s="80"/>
      <c r="J1" s="80"/>
      <c r="K1" s="80"/>
    </row>
    <row r="2" spans="1:11" s="546" customFormat="1" ht="18">
      <c r="A2" s="81"/>
      <c r="B2" s="81"/>
      <c r="C2" s="81"/>
      <c r="D2" s="81"/>
      <c r="E2" s="81"/>
      <c r="F2" s="81"/>
      <c r="G2" s="81"/>
      <c r="H2" s="81"/>
      <c r="I2" s="81"/>
      <c r="J2" s="81"/>
      <c r="K2" s="81"/>
    </row>
    <row r="3" spans="1:11" s="629" customFormat="1" ht="15.75">
      <c r="A3" s="1458" t="s">
        <v>518</v>
      </c>
      <c r="B3" s="1458"/>
      <c r="C3" s="1458"/>
      <c r="D3" s="1458"/>
      <c r="E3" s="1458"/>
      <c r="F3" s="1458"/>
      <c r="G3" s="1458"/>
      <c r="H3" s="1458"/>
      <c r="I3" s="1458"/>
      <c r="J3" s="1458"/>
      <c r="K3" s="1458"/>
    </row>
    <row r="4" spans="1:11" s="629" customFormat="1" ht="15.75">
      <c r="A4" s="154"/>
      <c r="B4" s="154"/>
      <c r="C4" s="154"/>
      <c r="D4" s="154"/>
      <c r="E4" s="154"/>
      <c r="F4" s="154"/>
      <c r="G4" s="154"/>
      <c r="H4" s="154"/>
      <c r="I4" s="154"/>
      <c r="J4" s="154"/>
      <c r="K4" s="154"/>
    </row>
    <row r="5" spans="1:12" s="629" customFormat="1" ht="15">
      <c r="A5" s="569"/>
      <c r="B5" s="569"/>
      <c r="C5" s="569"/>
      <c r="D5" s="569"/>
      <c r="E5" s="569"/>
      <c r="F5" s="569"/>
      <c r="G5" s="569"/>
      <c r="H5" s="569"/>
      <c r="I5" s="569"/>
      <c r="J5" s="569"/>
      <c r="K5" s="897" t="s">
        <v>1153</v>
      </c>
      <c r="L5" s="630"/>
    </row>
    <row r="6" spans="1:12" s="629" customFormat="1" ht="12.75">
      <c r="A6" s="569"/>
      <c r="B6" s="569"/>
      <c r="C6" s="569"/>
      <c r="D6" s="569"/>
      <c r="E6" s="569"/>
      <c r="F6" s="569"/>
      <c r="G6" s="569"/>
      <c r="H6" s="569"/>
      <c r="I6" s="569"/>
      <c r="J6" s="569"/>
      <c r="K6" s="569"/>
      <c r="L6" s="630"/>
    </row>
    <row r="7" spans="1:11" ht="25.5" customHeight="1">
      <c r="A7" s="1480" t="s">
        <v>1947</v>
      </c>
      <c r="B7" s="1472" t="s">
        <v>1057</v>
      </c>
      <c r="C7" s="1482" t="s">
        <v>1331</v>
      </c>
      <c r="D7" s="1472" t="s">
        <v>1058</v>
      </c>
      <c r="E7" s="1472" t="s">
        <v>1018</v>
      </c>
      <c r="F7" s="1409" t="s">
        <v>519</v>
      </c>
      <c r="G7" s="1409"/>
      <c r="H7" s="1409" t="s">
        <v>520</v>
      </c>
      <c r="I7" s="1409"/>
      <c r="J7" s="1409" t="s">
        <v>521</v>
      </c>
      <c r="K7" s="1409"/>
    </row>
    <row r="8" spans="1:11" ht="12.75">
      <c r="A8" s="1481"/>
      <c r="B8" s="1446"/>
      <c r="C8" s="1483"/>
      <c r="D8" s="1446"/>
      <c r="E8" s="1446"/>
      <c r="F8" s="632" t="s">
        <v>1060</v>
      </c>
      <c r="G8" s="633" t="s">
        <v>1434</v>
      </c>
      <c r="H8" s="631" t="s">
        <v>1060</v>
      </c>
      <c r="I8" s="633" t="s">
        <v>1434</v>
      </c>
      <c r="J8" s="283" t="s">
        <v>1060</v>
      </c>
      <c r="K8" s="283" t="s">
        <v>1434</v>
      </c>
    </row>
    <row r="9" spans="1:14" ht="12.75">
      <c r="A9" s="284">
        <v>1</v>
      </c>
      <c r="B9" s="284">
        <v>2</v>
      </c>
      <c r="C9" s="284">
        <v>3</v>
      </c>
      <c r="D9" s="284">
        <v>4</v>
      </c>
      <c r="E9" s="284">
        <v>5</v>
      </c>
      <c r="F9" s="284">
        <v>6</v>
      </c>
      <c r="G9" s="284">
        <v>7</v>
      </c>
      <c r="H9" s="284">
        <v>8</v>
      </c>
      <c r="I9" s="284">
        <v>9</v>
      </c>
      <c r="J9" s="284">
        <v>10</v>
      </c>
      <c r="K9" s="284">
        <v>11</v>
      </c>
      <c r="N9" s="634"/>
    </row>
    <row r="10" spans="1:11" ht="12.75">
      <c r="A10" s="635">
        <v>1</v>
      </c>
      <c r="B10" s="227" t="s">
        <v>522</v>
      </c>
      <c r="C10" s="408">
        <v>7132220095</v>
      </c>
      <c r="D10" s="276" t="s">
        <v>1061</v>
      </c>
      <c r="E10" s="271">
        <f>VLOOKUP(C10,'SOR RATE'!A:D,4,0)</f>
        <v>2112952</v>
      </c>
      <c r="F10" s="276">
        <v>1</v>
      </c>
      <c r="G10" s="288">
        <f>F10*E10</f>
        <v>2112952</v>
      </c>
      <c r="H10" s="636" t="s">
        <v>1064</v>
      </c>
      <c r="I10" s="636" t="s">
        <v>1064</v>
      </c>
      <c r="J10" s="636" t="s">
        <v>1064</v>
      </c>
      <c r="K10" s="636" t="s">
        <v>1064</v>
      </c>
    </row>
    <row r="11" spans="1:11" ht="12.75">
      <c r="A11" s="635">
        <v>2</v>
      </c>
      <c r="B11" s="227" t="s">
        <v>523</v>
      </c>
      <c r="C11" s="408">
        <v>7132220097</v>
      </c>
      <c r="D11" s="276" t="s">
        <v>1061</v>
      </c>
      <c r="E11" s="271">
        <f>VLOOKUP(C11,'SOR RATE'!A:D,4,0)</f>
        <v>3010759</v>
      </c>
      <c r="F11" s="636" t="s">
        <v>1064</v>
      </c>
      <c r="G11" s="636" t="s">
        <v>1064</v>
      </c>
      <c r="H11" s="276">
        <v>1</v>
      </c>
      <c r="I11" s="288">
        <f>H11*E11</f>
        <v>3010759</v>
      </c>
      <c r="J11" s="276">
        <v>1</v>
      </c>
      <c r="K11" s="288">
        <f>J11*E11</f>
        <v>3010759</v>
      </c>
    </row>
    <row r="12" spans="1:11" ht="12.75">
      <c r="A12" s="1473">
        <v>3</v>
      </c>
      <c r="B12" s="257" t="s">
        <v>524</v>
      </c>
      <c r="C12" s="408"/>
      <c r="D12" s="276" t="s">
        <v>1061</v>
      </c>
      <c r="E12" s="271"/>
      <c r="F12" s="636">
        <v>1</v>
      </c>
      <c r="G12" s="637"/>
      <c r="H12" s="636" t="s">
        <v>1064</v>
      </c>
      <c r="I12" s="637" t="s">
        <v>1064</v>
      </c>
      <c r="J12" s="276">
        <v>1</v>
      </c>
      <c r="K12" s="288"/>
    </row>
    <row r="13" spans="1:11" ht="12.75">
      <c r="A13" s="1474"/>
      <c r="B13" s="638" t="s">
        <v>525</v>
      </c>
      <c r="C13" s="408">
        <v>7131943380</v>
      </c>
      <c r="D13" s="275" t="s">
        <v>1061</v>
      </c>
      <c r="E13" s="271">
        <f>VLOOKUP(C13,'SOR RATE'!A:D,4,0)</f>
        <v>226584</v>
      </c>
      <c r="F13" s="636">
        <v>1</v>
      </c>
      <c r="G13" s="637">
        <f>F13*E13</f>
        <v>226584</v>
      </c>
      <c r="H13" s="636"/>
      <c r="I13" s="637"/>
      <c r="J13" s="636">
        <v>1</v>
      </c>
      <c r="K13" s="288">
        <f>J13*G13</f>
        <v>226584</v>
      </c>
    </row>
    <row r="14" spans="1:12" ht="14.25">
      <c r="A14" s="1474"/>
      <c r="B14" s="638" t="s">
        <v>145</v>
      </c>
      <c r="C14" s="408">
        <v>7131960524</v>
      </c>
      <c r="D14" s="275" t="s">
        <v>1061</v>
      </c>
      <c r="E14" s="271">
        <f>VLOOKUP(C14,'SOR RATE'!A:D,4,0)</f>
        <v>39815</v>
      </c>
      <c r="F14" s="636">
        <v>1</v>
      </c>
      <c r="G14" s="637">
        <f>F14*E14</f>
        <v>39815</v>
      </c>
      <c r="H14" s="636"/>
      <c r="I14" s="637"/>
      <c r="J14" s="636">
        <v>1</v>
      </c>
      <c r="K14" s="288">
        <f>J14*G14</f>
        <v>39815</v>
      </c>
      <c r="L14" s="694"/>
    </row>
    <row r="15" spans="1:11" ht="12.75">
      <c r="A15" s="1475"/>
      <c r="B15" s="638" t="s">
        <v>526</v>
      </c>
      <c r="C15" s="408">
        <v>7132230263</v>
      </c>
      <c r="D15" s="275" t="s">
        <v>1061</v>
      </c>
      <c r="E15" s="271">
        <f>VLOOKUP(C15,'SOR RATE'!A:D,4,0)</f>
        <v>18948</v>
      </c>
      <c r="F15" s="275">
        <v>3</v>
      </c>
      <c r="G15" s="637">
        <f>F15*E15</f>
        <v>56844</v>
      </c>
      <c r="H15" s="636"/>
      <c r="I15" s="637"/>
      <c r="J15" s="275">
        <v>3</v>
      </c>
      <c r="K15" s="288">
        <f>J15*E15</f>
        <v>56844</v>
      </c>
    </row>
    <row r="16" spans="1:11" ht="12.75">
      <c r="A16" s="1476">
        <v>4</v>
      </c>
      <c r="B16" s="257" t="s">
        <v>527</v>
      </c>
      <c r="C16" s="408"/>
      <c r="D16" s="276" t="s">
        <v>1065</v>
      </c>
      <c r="E16" s="271"/>
      <c r="F16" s="636" t="s">
        <v>1064</v>
      </c>
      <c r="G16" s="637" t="s">
        <v>1064</v>
      </c>
      <c r="H16" s="636" t="s">
        <v>1064</v>
      </c>
      <c r="I16" s="637" t="s">
        <v>1064</v>
      </c>
      <c r="J16" s="283">
        <v>7</v>
      </c>
      <c r="K16" s="288"/>
    </row>
    <row r="17" spans="1:11" s="641" customFormat="1" ht="12.75">
      <c r="A17" s="1477"/>
      <c r="B17" s="639" t="s">
        <v>635</v>
      </c>
      <c r="C17" s="408">
        <v>7130200401</v>
      </c>
      <c r="D17" s="640" t="s">
        <v>1070</v>
      </c>
      <c r="E17" s="271">
        <f>VLOOKUP(C17,'SOR RATE'!A:D,4,0)/50</f>
        <v>5.36</v>
      </c>
      <c r="F17" s="276"/>
      <c r="G17" s="276"/>
      <c r="H17" s="276"/>
      <c r="I17" s="276"/>
      <c r="J17" s="276">
        <v>1456</v>
      </c>
      <c r="K17" s="288">
        <f>J17*E17</f>
        <v>7804.160000000001</v>
      </c>
    </row>
    <row r="18" spans="1:11" s="641" customFormat="1" ht="12.75">
      <c r="A18" s="642">
        <v>5</v>
      </c>
      <c r="B18" s="643" t="s">
        <v>1590</v>
      </c>
      <c r="C18" s="605"/>
      <c r="D18" s="606"/>
      <c r="E18" s="606"/>
      <c r="F18" s="606"/>
      <c r="G18" s="606"/>
      <c r="H18" s="606"/>
      <c r="I18" s="606"/>
      <c r="J18" s="606"/>
      <c r="K18" s="607"/>
    </row>
    <row r="19" spans="1:11" ht="12.75">
      <c r="A19" s="414" t="s">
        <v>1556</v>
      </c>
      <c r="B19" s="256" t="s">
        <v>1557</v>
      </c>
      <c r="C19" s="408">
        <v>7130310658</v>
      </c>
      <c r="D19" s="276" t="s">
        <v>1322</v>
      </c>
      <c r="E19" s="271">
        <f>VLOOKUP(C19,'SOR RATE'!A:D,4,0)/1000</f>
        <v>125.719</v>
      </c>
      <c r="F19" s="636">
        <v>60</v>
      </c>
      <c r="G19" s="637">
        <f>F19*E19</f>
        <v>7543.139999999999</v>
      </c>
      <c r="H19" s="636">
        <v>60</v>
      </c>
      <c r="I19" s="637">
        <f>H19*E19</f>
        <v>7543.139999999999</v>
      </c>
      <c r="J19" s="276">
        <v>60</v>
      </c>
      <c r="K19" s="288">
        <f>J19*E19</f>
        <v>7543.139999999999</v>
      </c>
    </row>
    <row r="20" spans="1:11" ht="12.75">
      <c r="A20" s="416" t="s">
        <v>1558</v>
      </c>
      <c r="B20" s="256" t="s">
        <v>1559</v>
      </c>
      <c r="C20" s="408">
        <v>7130310654</v>
      </c>
      <c r="D20" s="276" t="s">
        <v>1322</v>
      </c>
      <c r="E20" s="271">
        <f>VLOOKUP(C20,'SOR RATE'!A:D,4,0)/1000</f>
        <v>67.671</v>
      </c>
      <c r="F20" s="636">
        <v>120</v>
      </c>
      <c r="G20" s="637">
        <f>F20*E20</f>
        <v>8120.52</v>
      </c>
      <c r="H20" s="636">
        <v>120</v>
      </c>
      <c r="I20" s="637">
        <f>H20*E20</f>
        <v>8120.52</v>
      </c>
      <c r="J20" s="276">
        <v>120</v>
      </c>
      <c r="K20" s="288">
        <f>J20*E20</f>
        <v>8120.52</v>
      </c>
    </row>
    <row r="21" spans="1:11" ht="12.75">
      <c r="A21" s="416" t="s">
        <v>1560</v>
      </c>
      <c r="B21" s="256" t="s">
        <v>1561</v>
      </c>
      <c r="C21" s="408">
        <v>7130310652</v>
      </c>
      <c r="D21" s="276" t="s">
        <v>1322</v>
      </c>
      <c r="E21" s="271">
        <f>VLOOKUP(C21,'SOR RATE'!A:D,4,0)/1000</f>
        <v>39.708</v>
      </c>
      <c r="F21" s="636">
        <v>60</v>
      </c>
      <c r="G21" s="637">
        <f>F21*E21</f>
        <v>2382.48</v>
      </c>
      <c r="H21" s="636">
        <v>60</v>
      </c>
      <c r="I21" s="637">
        <f>H21*E21</f>
        <v>2382.48</v>
      </c>
      <c r="J21" s="276">
        <v>60</v>
      </c>
      <c r="K21" s="288">
        <f>J21*E21</f>
        <v>2382.48</v>
      </c>
    </row>
    <row r="22" spans="1:11" ht="14.25" customHeight="1">
      <c r="A22" s="276">
        <v>6</v>
      </c>
      <c r="B22" s="278" t="s">
        <v>528</v>
      </c>
      <c r="C22" s="408">
        <v>7130830586</v>
      </c>
      <c r="D22" s="276" t="s">
        <v>1061</v>
      </c>
      <c r="E22" s="271">
        <f>VLOOKUP(C22,'SOR RATE'!A:D,4,0)</f>
        <v>191</v>
      </c>
      <c r="F22" s="636"/>
      <c r="G22" s="636"/>
      <c r="H22" s="636"/>
      <c r="I22" s="636"/>
      <c r="J22" s="276">
        <v>7</v>
      </c>
      <c r="K22" s="288">
        <f>J22*E22</f>
        <v>1337</v>
      </c>
    </row>
    <row r="23" spans="1:11" ht="16.5" customHeight="1">
      <c r="A23" s="276">
        <v>7</v>
      </c>
      <c r="B23" s="644" t="s">
        <v>529</v>
      </c>
      <c r="C23" s="408">
        <v>7130830586</v>
      </c>
      <c r="D23" s="276" t="s">
        <v>1061</v>
      </c>
      <c r="E23" s="271">
        <f>VLOOKUP(C23,'SOR RATE'!A:D,4,0)</f>
        <v>191</v>
      </c>
      <c r="F23" s="636" t="s">
        <v>1064</v>
      </c>
      <c r="G23" s="636" t="s">
        <v>1064</v>
      </c>
      <c r="H23" s="636" t="s">
        <v>1064</v>
      </c>
      <c r="I23" s="636" t="s">
        <v>1064</v>
      </c>
      <c r="J23" s="276">
        <v>3</v>
      </c>
      <c r="K23" s="288">
        <f>J23*E23</f>
        <v>573</v>
      </c>
    </row>
    <row r="24" spans="1:13" s="153" customFormat="1" ht="14.25" customHeight="1">
      <c r="A24" s="284">
        <v>8</v>
      </c>
      <c r="B24" s="491" t="s">
        <v>771</v>
      </c>
      <c r="C24" s="645"/>
      <c r="D24" s="283"/>
      <c r="E24" s="283"/>
      <c r="F24" s="283"/>
      <c r="G24" s="285">
        <f>SUM(G10:G23)</f>
        <v>2454241.14</v>
      </c>
      <c r="H24" s="285"/>
      <c r="I24" s="285">
        <f>SUM(I10:I23)</f>
        <v>3028805.14</v>
      </c>
      <c r="J24" s="285"/>
      <c r="K24" s="285">
        <f>SUM(K10:K23)</f>
        <v>3361762.3000000003</v>
      </c>
      <c r="L24" s="583"/>
      <c r="M24" s="584"/>
    </row>
    <row r="25" spans="1:13" ht="16.5" customHeight="1">
      <c r="A25" s="276">
        <v>9</v>
      </c>
      <c r="B25" s="463" t="s">
        <v>770</v>
      </c>
      <c r="C25" s="646"/>
      <c r="D25" s="276"/>
      <c r="E25" s="276">
        <v>0.09</v>
      </c>
      <c r="F25" s="276"/>
      <c r="G25" s="288">
        <f>G24*E25</f>
        <v>220881.7026</v>
      </c>
      <c r="H25" s="276"/>
      <c r="I25" s="288">
        <f>I24*E25</f>
        <v>272592.4626</v>
      </c>
      <c r="J25" s="288"/>
      <c r="K25" s="288">
        <f>K24*E25</f>
        <v>302558.607</v>
      </c>
      <c r="L25" s="583"/>
      <c r="M25" s="584"/>
    </row>
    <row r="26" spans="1:11" ht="12.75">
      <c r="A26" s="227"/>
      <c r="B26" s="227" t="s">
        <v>530</v>
      </c>
      <c r="C26" s="646"/>
      <c r="D26" s="276" t="s">
        <v>1065</v>
      </c>
      <c r="E26" s="288">
        <f>1664*1.27*1.0891*1.086275*1.1112*1.0685</f>
        <v>2968.460981603261</v>
      </c>
      <c r="F26" s="276"/>
      <c r="G26" s="288">
        <v>0</v>
      </c>
      <c r="H26" s="276"/>
      <c r="I26" s="288">
        <v>0</v>
      </c>
      <c r="J26" s="276">
        <v>7</v>
      </c>
      <c r="K26" s="288">
        <f>J26*E26</f>
        <v>20779.22687122283</v>
      </c>
    </row>
    <row r="27" spans="1:11" ht="12.75">
      <c r="A27" s="647">
        <v>10</v>
      </c>
      <c r="B27" s="256" t="s">
        <v>531</v>
      </c>
      <c r="C27" s="648"/>
      <c r="D27" s="649"/>
      <c r="E27" s="650"/>
      <c r="F27" s="651"/>
      <c r="G27" s="637">
        <f>1.1*1.1*61600*1.27*1.0891*1.086275*1.1112*1.0685</f>
        <v>132967.07194998843</v>
      </c>
      <c r="H27" s="636"/>
      <c r="I27" s="637">
        <f>1.1*1.1*74334*1.27*1.0891*1.086275*1.1112*1.0685</f>
        <v>160454.12867419544</v>
      </c>
      <c r="J27" s="637"/>
      <c r="K27" s="637">
        <f>1.1*1.1*74334*1.27*1.0891*1.086275*1.1112*1.0685</f>
        <v>160454.12867419544</v>
      </c>
    </row>
    <row r="28" spans="1:11" ht="15.75" customHeight="1">
      <c r="A28" s="276">
        <v>11</v>
      </c>
      <c r="B28" s="278" t="s">
        <v>333</v>
      </c>
      <c r="C28" s="255"/>
      <c r="D28" s="276"/>
      <c r="E28" s="288"/>
      <c r="F28" s="636"/>
      <c r="G28" s="637">
        <f>1.1*1.1*5564*1.2*1.1*1.1797*1.1402*0.9368</f>
        <v>11198.140727536573</v>
      </c>
      <c r="H28" s="636"/>
      <c r="I28" s="637">
        <f>1.1*1.1*9990*1.2*1.1*1.1797*1.1402*0.9368</f>
        <v>20105.935634092442</v>
      </c>
      <c r="J28" s="637"/>
      <c r="K28" s="637">
        <f>1.1*1.1*9990*1.2*1.1*1.1797*1.1402*0.9368</f>
        <v>20105.935634092442</v>
      </c>
    </row>
    <row r="29" spans="1:11" ht="12.75">
      <c r="A29" s="647">
        <v>12</v>
      </c>
      <c r="B29" s="256" t="s">
        <v>334</v>
      </c>
      <c r="C29" s="648"/>
      <c r="D29" s="649"/>
      <c r="E29" s="650"/>
      <c r="F29" s="651"/>
      <c r="G29" s="288">
        <f>1.1*1.1*39519.81*1.2*1.1797*1.1402*0.9368</f>
        <v>72307.10311507533</v>
      </c>
      <c r="H29" s="636"/>
      <c r="I29" s="637">
        <v>0</v>
      </c>
      <c r="J29" s="276"/>
      <c r="K29" s="288">
        <f>1.1*1.1*39519.81*1.2*1.1797*1.1402*0.9368</f>
        <v>72307.10311507533</v>
      </c>
    </row>
    <row r="30" spans="1:13" s="153" customFormat="1" ht="15.75" customHeight="1">
      <c r="A30" s="283">
        <v>13</v>
      </c>
      <c r="B30" s="491" t="s">
        <v>772</v>
      </c>
      <c r="C30" s="645"/>
      <c r="D30" s="283"/>
      <c r="E30" s="283"/>
      <c r="F30" s="283"/>
      <c r="G30" s="285">
        <f>G24+G25+G26+G27+G28+G29</f>
        <v>2891595.1583926007</v>
      </c>
      <c r="H30" s="285"/>
      <c r="I30" s="285">
        <f>I24+I25+I26+I27+I28+I29</f>
        <v>3481957.6669082884</v>
      </c>
      <c r="J30" s="285"/>
      <c r="K30" s="285">
        <f>K24+K25+K26+K27+K28+K29</f>
        <v>3937967.301294586</v>
      </c>
      <c r="L30" s="590"/>
      <c r="M30" s="652"/>
    </row>
    <row r="31" spans="1:13" s="153" customFormat="1" ht="30.75" customHeight="1">
      <c r="A31" s="647">
        <v>14</v>
      </c>
      <c r="B31" s="463" t="s">
        <v>773</v>
      </c>
      <c r="C31" s="645"/>
      <c r="D31" s="283"/>
      <c r="E31" s="276">
        <v>0.11</v>
      </c>
      <c r="F31" s="276"/>
      <c r="G31" s="288">
        <f>G24*E31</f>
        <v>269966.52540000004</v>
      </c>
      <c r="H31" s="288"/>
      <c r="I31" s="288">
        <f>I24*E31</f>
        <v>333168.5654</v>
      </c>
      <c r="J31" s="288"/>
      <c r="K31" s="288">
        <f>K24*E31</f>
        <v>369793.85300000006</v>
      </c>
      <c r="L31" s="590"/>
      <c r="M31" s="652"/>
    </row>
    <row r="32" spans="1:13" ht="27.75" customHeight="1">
      <c r="A32" s="647">
        <v>15</v>
      </c>
      <c r="B32" s="256" t="s">
        <v>335</v>
      </c>
      <c r="C32" s="255"/>
      <c r="D32" s="276"/>
      <c r="E32" s="288"/>
      <c r="F32" s="636"/>
      <c r="G32" s="653">
        <f>712562*0.8*0.9+0.1*712562</f>
        <v>584300.84</v>
      </c>
      <c r="H32" s="654"/>
      <c r="I32" s="653">
        <f>1819323*0.8*0.9+0.1*1819323</f>
        <v>1491844.86</v>
      </c>
      <c r="J32" s="288"/>
      <c r="K32" s="288">
        <f>1819323*0.8*0.9+0.1*1819323</f>
        <v>1491844.86</v>
      </c>
      <c r="M32" s="655"/>
    </row>
    <row r="33" spans="1:11" ht="12.75">
      <c r="A33" s="635">
        <v>16</v>
      </c>
      <c r="B33" s="227" t="s">
        <v>336</v>
      </c>
      <c r="C33" s="646"/>
      <c r="D33" s="276"/>
      <c r="E33" s="276"/>
      <c r="F33" s="276"/>
      <c r="G33" s="288">
        <f>G30+G31-G32</f>
        <v>2577260.843792601</v>
      </c>
      <c r="H33" s="288"/>
      <c r="I33" s="288">
        <f>I30+I31-I32</f>
        <v>2323281.3723082887</v>
      </c>
      <c r="J33" s="288"/>
      <c r="K33" s="288">
        <f>K30+K31-K32</f>
        <v>2815916.2942945855</v>
      </c>
    </row>
    <row r="34" spans="1:11" s="153" customFormat="1" ht="17.25" customHeight="1">
      <c r="A34" s="358">
        <v>17</v>
      </c>
      <c r="B34" s="616" t="s">
        <v>337</v>
      </c>
      <c r="C34" s="656"/>
      <c r="D34" s="358"/>
      <c r="E34" s="358"/>
      <c r="F34" s="358"/>
      <c r="G34" s="359">
        <f>ROUND(G33,0)</f>
        <v>2577261</v>
      </c>
      <c r="H34" s="359"/>
      <c r="I34" s="359">
        <f>ROUND(I33,0)</f>
        <v>2323281</v>
      </c>
      <c r="J34" s="359"/>
      <c r="K34" s="359">
        <f>ROUND(K33,0)</f>
        <v>2815916</v>
      </c>
    </row>
    <row r="35" spans="1:11" s="153" customFormat="1" ht="12" customHeight="1">
      <c r="A35" s="657"/>
      <c r="B35" s="658"/>
      <c r="C35" s="659"/>
      <c r="D35" s="657"/>
      <c r="E35" s="657"/>
      <c r="F35" s="657"/>
      <c r="G35" s="660"/>
      <c r="H35" s="660"/>
      <c r="I35" s="660"/>
      <c r="J35" s="660"/>
      <c r="K35" s="660"/>
    </row>
    <row r="36" spans="1:11" ht="12.75">
      <c r="A36" s="661"/>
      <c r="B36" s="1478" t="s">
        <v>338</v>
      </c>
      <c r="C36" s="1478"/>
      <c r="D36" s="662"/>
      <c r="E36" s="662"/>
      <c r="F36" s="662"/>
      <c r="G36" s="663"/>
      <c r="H36" s="663"/>
      <c r="I36" s="663"/>
      <c r="J36" s="663"/>
      <c r="K36" s="663"/>
    </row>
    <row r="37" spans="1:7" ht="12.75">
      <c r="A37" s="661"/>
      <c r="B37" s="664"/>
      <c r="C37" s="665"/>
      <c r="D37" s="662"/>
      <c r="E37" s="662"/>
      <c r="F37" s="662"/>
      <c r="G37" s="662"/>
    </row>
    <row r="38" spans="5:11" ht="18">
      <c r="E38" s="336"/>
      <c r="G38" s="655"/>
      <c r="H38" s="655"/>
      <c r="I38" s="655"/>
      <c r="J38" s="655"/>
      <c r="K38" s="655"/>
    </row>
    <row r="39" spans="1:3" ht="15">
      <c r="A39" s="1479"/>
      <c r="B39" s="1479"/>
      <c r="C39" s="575"/>
    </row>
  </sheetData>
  <sheetProtection/>
  <mergeCells count="14">
    <mergeCell ref="B36:C36"/>
    <mergeCell ref="A39:B39"/>
    <mergeCell ref="C1:G1"/>
    <mergeCell ref="A3:K3"/>
    <mergeCell ref="A7:A8"/>
    <mergeCell ref="B7:B8"/>
    <mergeCell ref="C7:C8"/>
    <mergeCell ref="D7:D8"/>
    <mergeCell ref="E7:E8"/>
    <mergeCell ref="F7:G7"/>
    <mergeCell ref="H7:I7"/>
    <mergeCell ref="J7:K7"/>
    <mergeCell ref="A12:A15"/>
    <mergeCell ref="A16:A17"/>
  </mergeCells>
  <printOptions horizontalCentered="1"/>
  <pageMargins left="0.75" right="0.15748031496062992" top="0.72" bottom="0.27" header="0.56" footer="0.15"/>
  <pageSetup horizontalDpi="120" verticalDpi="120" orientation="landscape" paperSize="9" scale="97" r:id="rId1"/>
</worksheet>
</file>

<file path=xl/worksheets/sheet24.xml><?xml version="1.0" encoding="utf-8"?>
<worksheet xmlns="http://schemas.openxmlformats.org/spreadsheetml/2006/main" xmlns:r="http://schemas.openxmlformats.org/officeDocument/2006/relationships">
  <sheetPr>
    <tabColor indexed="11"/>
  </sheetPr>
  <dimension ref="A1:P88"/>
  <sheetViews>
    <sheetView zoomScalePageLayoutView="0" workbookViewId="0" topLeftCell="A1">
      <pane xSplit="5" ySplit="9" topLeftCell="F10" activePane="bottomRight" state="frozen"/>
      <selection pane="topLeft" activeCell="A1" sqref="A1"/>
      <selection pane="topRight" activeCell="F1" sqref="F1"/>
      <selection pane="bottomLeft" activeCell="A11" sqref="A11"/>
      <selection pane="bottomRight" activeCell="A1" sqref="A1"/>
    </sheetView>
  </sheetViews>
  <sheetFormatPr defaultColWidth="9.140625" defaultRowHeight="12.75"/>
  <cols>
    <col min="1" max="1" width="4.57421875" style="79" customWidth="1"/>
    <col min="2" max="2" width="4.00390625" style="79" customWidth="1"/>
    <col min="3" max="3" width="50.57421875" style="2" customWidth="1"/>
    <col min="4" max="4" width="12.140625" style="18" customWidth="1"/>
    <col min="5" max="5" width="6.57421875" style="2" bestFit="1" customWidth="1"/>
    <col min="6" max="6" width="9.57421875" style="2" bestFit="1" customWidth="1"/>
    <col min="7" max="7" width="5.7109375" style="2" bestFit="1" customWidth="1"/>
    <col min="8" max="8" width="11.7109375" style="2" customWidth="1"/>
    <col min="9" max="9" width="13.8515625" style="2" customWidth="1"/>
    <col min="10" max="16384" width="9.140625" style="2" customWidth="1"/>
  </cols>
  <sheetData>
    <row r="1" spans="3:10" ht="18">
      <c r="C1" s="1279" t="s">
        <v>339</v>
      </c>
      <c r="D1" s="1279"/>
      <c r="E1" s="1279"/>
      <c r="F1" s="126"/>
      <c r="G1" s="126"/>
      <c r="H1" s="126"/>
      <c r="I1" s="126"/>
      <c r="J1" s="126"/>
    </row>
    <row r="2" spans="1:7" ht="12.75">
      <c r="A2" s="667"/>
      <c r="B2" s="668"/>
      <c r="C2" s="669"/>
      <c r="D2" s="669"/>
      <c r="E2" s="669"/>
      <c r="F2" s="669"/>
      <c r="G2" s="669"/>
    </row>
    <row r="3" spans="2:8" ht="15">
      <c r="B3" s="200"/>
      <c r="C3" s="1404" t="s">
        <v>340</v>
      </c>
      <c r="D3" s="1404"/>
      <c r="E3" s="1404"/>
      <c r="F3" s="1404"/>
      <c r="G3" s="341"/>
      <c r="H3" s="341"/>
    </row>
    <row r="4" spans="1:8" ht="15">
      <c r="A4" s="200"/>
      <c r="B4" s="200"/>
      <c r="C4" s="200"/>
      <c r="D4" s="200"/>
      <c r="E4" s="200"/>
      <c r="F4" s="200"/>
      <c r="G4" s="200"/>
      <c r="H4" s="200"/>
    </row>
    <row r="5" spans="1:8" ht="15">
      <c r="A5" s="200"/>
      <c r="B5" s="200"/>
      <c r="C5" s="200"/>
      <c r="D5" s="200"/>
      <c r="E5" s="200"/>
      <c r="F5" s="200"/>
      <c r="G5" s="200"/>
      <c r="H5" s="897" t="s">
        <v>1153</v>
      </c>
    </row>
    <row r="6" spans="1:8" ht="27" customHeight="1">
      <c r="A6" s="146" t="s">
        <v>1947</v>
      </c>
      <c r="B6" s="1463" t="s">
        <v>1057</v>
      </c>
      <c r="C6" s="1464"/>
      <c r="D6" s="381" t="s">
        <v>1331</v>
      </c>
      <c r="E6" s="283" t="s">
        <v>1058</v>
      </c>
      <c r="F6" s="283" t="s">
        <v>1018</v>
      </c>
      <c r="G6" s="283" t="s">
        <v>660</v>
      </c>
      <c r="H6" s="283" t="s">
        <v>1019</v>
      </c>
    </row>
    <row r="7" spans="1:8" ht="12.75">
      <c r="A7" s="284">
        <v>1</v>
      </c>
      <c r="B7" s="1432">
        <v>2</v>
      </c>
      <c r="C7" s="1433"/>
      <c r="D7" s="284">
        <v>3</v>
      </c>
      <c r="E7" s="284">
        <v>4</v>
      </c>
      <c r="F7" s="284">
        <v>5</v>
      </c>
      <c r="G7" s="284">
        <v>6</v>
      </c>
      <c r="H7" s="284">
        <v>7</v>
      </c>
    </row>
    <row r="8" spans="1:8" ht="15" customHeight="1">
      <c r="A8" s="1486">
        <v>1</v>
      </c>
      <c r="B8" s="284"/>
      <c r="C8" s="670" t="s">
        <v>341</v>
      </c>
      <c r="D8" s="671"/>
      <c r="E8" s="671"/>
      <c r="F8" s="671"/>
      <c r="G8" s="671"/>
      <c r="H8" s="672"/>
    </row>
    <row r="9" spans="1:8" ht="15" customHeight="1">
      <c r="A9" s="1487"/>
      <c r="B9" s="270">
        <v>1</v>
      </c>
      <c r="C9" s="272" t="s">
        <v>342</v>
      </c>
      <c r="D9" s="398"/>
      <c r="E9" s="270" t="s">
        <v>343</v>
      </c>
      <c r="F9" s="271" t="s">
        <v>1041</v>
      </c>
      <c r="G9" s="270"/>
      <c r="H9" s="271"/>
    </row>
    <row r="10" spans="1:8" ht="15" customHeight="1">
      <c r="A10" s="1487"/>
      <c r="B10" s="270">
        <v>2</v>
      </c>
      <c r="C10" s="272" t="s">
        <v>344</v>
      </c>
      <c r="D10" s="398"/>
      <c r="E10" s="270" t="s">
        <v>1295</v>
      </c>
      <c r="F10" s="271">
        <v>396</v>
      </c>
      <c r="G10" s="270">
        <v>32</v>
      </c>
      <c r="H10" s="271">
        <f>G10*F10</f>
        <v>12672</v>
      </c>
    </row>
    <row r="11" spans="1:8" ht="15" customHeight="1">
      <c r="A11" s="1487"/>
      <c r="B11" s="270">
        <v>3</v>
      </c>
      <c r="C11" s="272" t="s">
        <v>345</v>
      </c>
      <c r="D11" s="398"/>
      <c r="E11" s="270" t="s">
        <v>1130</v>
      </c>
      <c r="F11" s="271">
        <v>39600</v>
      </c>
      <c r="G11" s="270">
        <v>1</v>
      </c>
      <c r="H11" s="271">
        <f>G11*F11</f>
        <v>39600</v>
      </c>
    </row>
    <row r="12" spans="1:8" ht="15" customHeight="1">
      <c r="A12" s="1488"/>
      <c r="B12" s="283"/>
      <c r="C12" s="673" t="s">
        <v>346</v>
      </c>
      <c r="D12" s="645"/>
      <c r="E12" s="283"/>
      <c r="F12" s="283"/>
      <c r="G12" s="283"/>
      <c r="H12" s="285">
        <f>SUM(H10:H11)</f>
        <v>52272</v>
      </c>
    </row>
    <row r="13" spans="1:8" s="107" customFormat="1" ht="15" customHeight="1">
      <c r="A13" s="1486">
        <v>2</v>
      </c>
      <c r="B13" s="283"/>
      <c r="C13" s="674" t="s">
        <v>347</v>
      </c>
      <c r="D13" s="675"/>
      <c r="E13" s="676"/>
      <c r="F13" s="676"/>
      <c r="G13" s="676"/>
      <c r="H13" s="677"/>
    </row>
    <row r="14" spans="1:8" ht="15" customHeight="1">
      <c r="A14" s="1487"/>
      <c r="B14" s="270">
        <v>1</v>
      </c>
      <c r="C14" s="272" t="s">
        <v>348</v>
      </c>
      <c r="D14" s="408">
        <v>7132220091</v>
      </c>
      <c r="E14" s="270" t="s">
        <v>1061</v>
      </c>
      <c r="F14" s="271">
        <f>VLOOKUP(D14,'SOR RATE'!A:D,4,0)</f>
        <v>841136</v>
      </c>
      <c r="G14" s="270">
        <v>1</v>
      </c>
      <c r="H14" s="271">
        <f aca="true" t="shared" si="0" ref="H14:H27">G14*F14</f>
        <v>841136</v>
      </c>
    </row>
    <row r="15" spans="1:8" ht="15" customHeight="1">
      <c r="A15" s="1487"/>
      <c r="B15" s="276">
        <v>2</v>
      </c>
      <c r="C15" s="272" t="s">
        <v>349</v>
      </c>
      <c r="D15" s="408">
        <v>7130800033</v>
      </c>
      <c r="E15" s="270" t="s">
        <v>1061</v>
      </c>
      <c r="F15" s="271">
        <f>VLOOKUP(D15,'SOR RATE'!A:D,4,0)</f>
        <v>3129</v>
      </c>
      <c r="G15" s="270">
        <v>2</v>
      </c>
      <c r="H15" s="271">
        <f>G15*F15</f>
        <v>6258</v>
      </c>
    </row>
    <row r="16" spans="1:8" ht="15" customHeight="1">
      <c r="A16" s="1487"/>
      <c r="B16" s="1473">
        <v>3</v>
      </c>
      <c r="C16" s="272" t="s">
        <v>350</v>
      </c>
      <c r="D16" s="408">
        <v>7130810595</v>
      </c>
      <c r="E16" s="270" t="s">
        <v>1061</v>
      </c>
      <c r="F16" s="271">
        <f>VLOOKUP(D16,'SOR RATE'!A:D,4,0)</f>
        <v>2332</v>
      </c>
      <c r="G16" s="270">
        <v>2</v>
      </c>
      <c r="H16" s="271">
        <f>G16*F16</f>
        <v>4664</v>
      </c>
    </row>
    <row r="17" spans="1:8" ht="15" customHeight="1">
      <c r="A17" s="1487"/>
      <c r="B17" s="1475"/>
      <c r="C17" s="678" t="s">
        <v>351</v>
      </c>
      <c r="D17" s="408">
        <v>7130810361</v>
      </c>
      <c r="E17" s="270" t="s">
        <v>1061</v>
      </c>
      <c r="F17" s="271">
        <f>VLOOKUP(D17,'SOR RATE'!A:D,4,0)</f>
        <v>282</v>
      </c>
      <c r="G17" s="270">
        <v>2</v>
      </c>
      <c r="H17" s="271">
        <f t="shared" si="0"/>
        <v>564</v>
      </c>
    </row>
    <row r="18" spans="1:8" ht="15" customHeight="1">
      <c r="A18" s="1487"/>
      <c r="B18" s="270">
        <v>4</v>
      </c>
      <c r="C18" s="272" t="s">
        <v>352</v>
      </c>
      <c r="D18" s="408">
        <v>7130810676</v>
      </c>
      <c r="E18" s="270" t="s">
        <v>1061</v>
      </c>
      <c r="F18" s="271">
        <f>VLOOKUP(D18,'SOR RATE'!A:D,4,0)</f>
        <v>388</v>
      </c>
      <c r="G18" s="270">
        <v>5</v>
      </c>
      <c r="H18" s="271">
        <f t="shared" si="0"/>
        <v>1940</v>
      </c>
    </row>
    <row r="19" spans="1:8" ht="15" customHeight="1">
      <c r="A19" s="1487"/>
      <c r="B19" s="276">
        <v>5</v>
      </c>
      <c r="C19" s="272" t="s">
        <v>353</v>
      </c>
      <c r="D19" s="408">
        <v>7131930321</v>
      </c>
      <c r="E19" s="270" t="s">
        <v>1022</v>
      </c>
      <c r="F19" s="271">
        <f>VLOOKUP(D19,'SOR RATE'!A:D,4,0)</f>
        <v>18624</v>
      </c>
      <c r="G19" s="270">
        <v>1</v>
      </c>
      <c r="H19" s="271">
        <f t="shared" si="0"/>
        <v>18624</v>
      </c>
    </row>
    <row r="20" spans="1:8" ht="15" customHeight="1">
      <c r="A20" s="1487"/>
      <c r="B20" s="276">
        <v>6</v>
      </c>
      <c r="C20" s="272" t="s">
        <v>354</v>
      </c>
      <c r="D20" s="408">
        <v>7131930415</v>
      </c>
      <c r="E20" s="270" t="s">
        <v>1130</v>
      </c>
      <c r="F20" s="271">
        <f>VLOOKUP(D20,'SOR RATE'!A:D,4,0)</f>
        <v>2918</v>
      </c>
      <c r="G20" s="270">
        <v>3</v>
      </c>
      <c r="H20" s="271">
        <f t="shared" si="0"/>
        <v>8754</v>
      </c>
    </row>
    <row r="21" spans="1:10" ht="15" customHeight="1">
      <c r="A21" s="1487"/>
      <c r="B21" s="270">
        <v>7</v>
      </c>
      <c r="C21" s="272" t="s">
        <v>960</v>
      </c>
      <c r="D21" s="408">
        <v>7130840021</v>
      </c>
      <c r="E21" s="270" t="s">
        <v>1130</v>
      </c>
      <c r="F21" s="271">
        <f>VLOOKUP(D21,'SOR RATE'!A:D,4,0)</f>
        <v>3483</v>
      </c>
      <c r="G21" s="270">
        <v>3</v>
      </c>
      <c r="H21" s="271">
        <f t="shared" si="0"/>
        <v>10449</v>
      </c>
      <c r="J21" s="2" t="s">
        <v>414</v>
      </c>
    </row>
    <row r="22" spans="1:10" ht="15" customHeight="1">
      <c r="A22" s="1487"/>
      <c r="B22" s="276">
        <v>8</v>
      </c>
      <c r="C22" s="272" t="s">
        <v>1987</v>
      </c>
      <c r="D22" s="408">
        <v>7130820009</v>
      </c>
      <c r="E22" s="270" t="s">
        <v>1130</v>
      </c>
      <c r="F22" s="271">
        <f>VLOOKUP(D22,'SOR RATE'!A:D,4,0)</f>
        <v>388</v>
      </c>
      <c r="G22" s="270">
        <v>9</v>
      </c>
      <c r="H22" s="271">
        <f t="shared" si="0"/>
        <v>3492</v>
      </c>
      <c r="J22" s="2" t="s">
        <v>1988</v>
      </c>
    </row>
    <row r="23" spans="1:8" ht="26.25" customHeight="1">
      <c r="A23" s="1487"/>
      <c r="B23" s="282">
        <v>9</v>
      </c>
      <c r="C23" s="273" t="s">
        <v>355</v>
      </c>
      <c r="D23" s="408">
        <v>7130810684</v>
      </c>
      <c r="E23" s="253" t="s">
        <v>1022</v>
      </c>
      <c r="F23" s="271">
        <f>VLOOKUP(D23,'SOR RATE'!A:D,4,0)</f>
        <v>8457</v>
      </c>
      <c r="G23" s="253">
        <v>2</v>
      </c>
      <c r="H23" s="271">
        <f t="shared" si="0"/>
        <v>16914</v>
      </c>
    </row>
    <row r="24" spans="1:8" ht="15" customHeight="1">
      <c r="A24" s="1487"/>
      <c r="B24" s="276">
        <v>10</v>
      </c>
      <c r="C24" s="272" t="s">
        <v>2030</v>
      </c>
      <c r="D24" s="408">
        <v>7130800012</v>
      </c>
      <c r="E24" s="270" t="s">
        <v>1061</v>
      </c>
      <c r="F24" s="271">
        <f>VLOOKUP(D24,'SOR RATE'!A:D,4,0)</f>
        <v>1654</v>
      </c>
      <c r="G24" s="270">
        <v>8</v>
      </c>
      <c r="H24" s="271">
        <f t="shared" si="0"/>
        <v>13232</v>
      </c>
    </row>
    <row r="25" spans="1:8" ht="15" customHeight="1">
      <c r="A25" s="1487"/>
      <c r="B25" s="276">
        <v>11</v>
      </c>
      <c r="C25" s="272" t="s">
        <v>2031</v>
      </c>
      <c r="D25" s="408">
        <v>7130810684</v>
      </c>
      <c r="E25" s="270" t="s">
        <v>1061</v>
      </c>
      <c r="F25" s="271">
        <f>VLOOKUP(D25,'SOR RATE'!A:D,4,0)</f>
        <v>8457</v>
      </c>
      <c r="G25" s="270">
        <v>16</v>
      </c>
      <c r="H25" s="271">
        <f t="shared" si="0"/>
        <v>135312</v>
      </c>
    </row>
    <row r="26" spans="1:8" ht="15" customHeight="1">
      <c r="A26" s="1487"/>
      <c r="B26" s="276">
        <v>12</v>
      </c>
      <c r="C26" s="272" t="s">
        <v>2032</v>
      </c>
      <c r="D26" s="408">
        <v>7131930221</v>
      </c>
      <c r="E26" s="270" t="s">
        <v>1130</v>
      </c>
      <c r="F26" s="271">
        <f>VLOOKUP(D26,'SOR RATE'!A:D,4,0)</f>
        <v>7750</v>
      </c>
      <c r="G26" s="270">
        <v>3</v>
      </c>
      <c r="H26" s="271">
        <f t="shared" si="0"/>
        <v>23250</v>
      </c>
    </row>
    <row r="27" spans="1:10" ht="15" customHeight="1">
      <c r="A27" s="1487"/>
      <c r="B27" s="276">
        <v>13</v>
      </c>
      <c r="C27" s="272" t="s">
        <v>961</v>
      </c>
      <c r="D27" s="408">
        <v>7130840029</v>
      </c>
      <c r="E27" s="270" t="s">
        <v>1130</v>
      </c>
      <c r="F27" s="271">
        <f>VLOOKUP(D27,'SOR RATE'!A:D,4,0)</f>
        <v>425</v>
      </c>
      <c r="G27" s="270">
        <v>3</v>
      </c>
      <c r="H27" s="271">
        <f t="shared" si="0"/>
        <v>1275</v>
      </c>
      <c r="J27" s="2" t="s">
        <v>415</v>
      </c>
    </row>
    <row r="28" spans="1:8" ht="15" customHeight="1">
      <c r="A28" s="1487"/>
      <c r="B28" s="1473">
        <v>14</v>
      </c>
      <c r="C28" s="674" t="s">
        <v>2033</v>
      </c>
      <c r="D28" s="408"/>
      <c r="E28" s="270" t="s">
        <v>1022</v>
      </c>
      <c r="F28" s="271"/>
      <c r="G28" s="283">
        <v>21</v>
      </c>
      <c r="H28" s="271"/>
    </row>
    <row r="29" spans="1:10" ht="15" customHeight="1">
      <c r="A29" s="1487"/>
      <c r="B29" s="1474"/>
      <c r="C29" s="272" t="s">
        <v>416</v>
      </c>
      <c r="D29" s="408">
        <v>7130820010</v>
      </c>
      <c r="E29" s="270" t="s">
        <v>1061</v>
      </c>
      <c r="F29" s="271">
        <f>VLOOKUP(D29,'SOR RATE'!A:D,4,0)</f>
        <v>140</v>
      </c>
      <c r="G29" s="270">
        <v>21</v>
      </c>
      <c r="H29" s="271">
        <f>G29*F29</f>
        <v>2940</v>
      </c>
      <c r="J29" s="2" t="s">
        <v>1256</v>
      </c>
    </row>
    <row r="30" spans="1:8" ht="15" customHeight="1">
      <c r="A30" s="1487"/>
      <c r="B30" s="1475"/>
      <c r="C30" s="272" t="s">
        <v>2034</v>
      </c>
      <c r="D30" s="408">
        <v>7130820241</v>
      </c>
      <c r="E30" s="270" t="s">
        <v>1061</v>
      </c>
      <c r="F30" s="271">
        <f>VLOOKUP(D30,'SOR RATE'!A:D,4,0)</f>
        <v>123</v>
      </c>
      <c r="G30" s="270">
        <v>21</v>
      </c>
      <c r="H30" s="271">
        <f>G30*F30</f>
        <v>2583</v>
      </c>
    </row>
    <row r="31" spans="1:8" ht="15" customHeight="1">
      <c r="A31" s="1487"/>
      <c r="B31" s="276">
        <v>15</v>
      </c>
      <c r="C31" s="272" t="s">
        <v>2035</v>
      </c>
      <c r="D31" s="408">
        <v>7130830060</v>
      </c>
      <c r="E31" s="270" t="s">
        <v>1025</v>
      </c>
      <c r="F31" s="271">
        <f>VLOOKUP(D31,'SOR RATE'!A:D,4,0)/1000</f>
        <v>50.002</v>
      </c>
      <c r="G31" s="270">
        <v>20</v>
      </c>
      <c r="H31" s="271">
        <f>G31*F31</f>
        <v>1000.0400000000001</v>
      </c>
    </row>
    <row r="32" spans="1:8" ht="15" customHeight="1">
      <c r="A32" s="1487"/>
      <c r="B32" s="276">
        <v>16</v>
      </c>
      <c r="C32" s="272" t="s">
        <v>2036</v>
      </c>
      <c r="D32" s="408">
        <v>7130830586</v>
      </c>
      <c r="E32" s="270" t="s">
        <v>1061</v>
      </c>
      <c r="F32" s="271">
        <f>VLOOKUP(D32,'SOR RATE'!A:D,4,0)</f>
        <v>191</v>
      </c>
      <c r="G32" s="270">
        <v>27</v>
      </c>
      <c r="H32" s="271">
        <f>G32*F32</f>
        <v>5157</v>
      </c>
    </row>
    <row r="33" spans="1:8" ht="15" customHeight="1">
      <c r="A33" s="1487"/>
      <c r="B33" s="276">
        <v>17</v>
      </c>
      <c r="C33" s="272" t="s">
        <v>417</v>
      </c>
      <c r="D33" s="408">
        <v>7130830052</v>
      </c>
      <c r="E33" s="270" t="s">
        <v>1061</v>
      </c>
      <c r="F33" s="271">
        <f>VLOOKUP(D33,'SOR RATE'!A:D,4,0)</f>
        <v>534</v>
      </c>
      <c r="G33" s="270">
        <v>12</v>
      </c>
      <c r="H33" s="271">
        <f>G33*F33</f>
        <v>6408</v>
      </c>
    </row>
    <row r="34" spans="1:8" ht="15" customHeight="1">
      <c r="A34" s="1487"/>
      <c r="B34" s="1473">
        <v>18</v>
      </c>
      <c r="C34" s="674" t="s">
        <v>2024</v>
      </c>
      <c r="D34" s="408"/>
      <c r="E34" s="270" t="s">
        <v>1070</v>
      </c>
      <c r="F34" s="271"/>
      <c r="G34" s="283">
        <v>100</v>
      </c>
      <c r="H34" s="271"/>
    </row>
    <row r="35" spans="1:8" ht="15" customHeight="1">
      <c r="A35" s="1487"/>
      <c r="B35" s="1474"/>
      <c r="C35" s="278" t="s">
        <v>2025</v>
      </c>
      <c r="D35" s="408">
        <v>7130620609</v>
      </c>
      <c r="E35" s="270" t="s">
        <v>1070</v>
      </c>
      <c r="F35" s="271">
        <f>VLOOKUP(D35,'SOR RATE'!A:D,4,0)</f>
        <v>64</v>
      </c>
      <c r="G35" s="270">
        <v>2</v>
      </c>
      <c r="H35" s="271">
        <f aca="true" t="shared" si="1" ref="H35:H41">G35*F35</f>
        <v>128</v>
      </c>
    </row>
    <row r="36" spans="1:8" ht="15" customHeight="1">
      <c r="A36" s="1487"/>
      <c r="B36" s="1474"/>
      <c r="C36" s="278" t="s">
        <v>2026</v>
      </c>
      <c r="D36" s="408">
        <v>7130620614</v>
      </c>
      <c r="E36" s="270" t="s">
        <v>1070</v>
      </c>
      <c r="F36" s="271">
        <f>VLOOKUP(D36,'SOR RATE'!A:D,4,0)</f>
        <v>63</v>
      </c>
      <c r="G36" s="270">
        <v>2</v>
      </c>
      <c r="H36" s="271">
        <f t="shared" si="1"/>
        <v>126</v>
      </c>
    </row>
    <row r="37" spans="1:8" ht="15" customHeight="1">
      <c r="A37" s="1487"/>
      <c r="B37" s="1474"/>
      <c r="C37" s="278" t="s">
        <v>2027</v>
      </c>
      <c r="D37" s="408">
        <v>7130620619</v>
      </c>
      <c r="E37" s="270" t="s">
        <v>1070</v>
      </c>
      <c r="F37" s="271">
        <f>VLOOKUP(D37,'SOR RATE'!A:D,4,0)</f>
        <v>63</v>
      </c>
      <c r="G37" s="270">
        <v>25</v>
      </c>
      <c r="H37" s="271">
        <f t="shared" si="1"/>
        <v>1575</v>
      </c>
    </row>
    <row r="38" spans="1:8" ht="15" customHeight="1">
      <c r="A38" s="1487"/>
      <c r="B38" s="1474"/>
      <c r="C38" s="278" t="s">
        <v>2028</v>
      </c>
      <c r="D38" s="408">
        <v>7130620627</v>
      </c>
      <c r="E38" s="270" t="s">
        <v>1070</v>
      </c>
      <c r="F38" s="271">
        <f>VLOOKUP(D38,'SOR RATE'!A:D,4,0)</f>
        <v>62</v>
      </c>
      <c r="G38" s="270">
        <v>40</v>
      </c>
      <c r="H38" s="271">
        <f t="shared" si="1"/>
        <v>2480</v>
      </c>
    </row>
    <row r="39" spans="1:8" ht="15" customHeight="1">
      <c r="A39" s="1487"/>
      <c r="B39" s="1474"/>
      <c r="C39" s="278" t="s">
        <v>1077</v>
      </c>
      <c r="D39" s="408">
        <v>7130620631</v>
      </c>
      <c r="E39" s="270" t="s">
        <v>1070</v>
      </c>
      <c r="F39" s="271">
        <f>VLOOKUP(D39,'SOR RATE'!A:D,4,0)</f>
        <v>62</v>
      </c>
      <c r="G39" s="270">
        <v>50</v>
      </c>
      <c r="H39" s="271">
        <f t="shared" si="1"/>
        <v>3100</v>
      </c>
    </row>
    <row r="40" spans="1:8" ht="15" customHeight="1">
      <c r="A40" s="1487"/>
      <c r="B40" s="1475"/>
      <c r="C40" s="278" t="s">
        <v>1078</v>
      </c>
      <c r="D40" s="408">
        <v>7130620637</v>
      </c>
      <c r="E40" s="270" t="s">
        <v>1070</v>
      </c>
      <c r="F40" s="271">
        <f>VLOOKUP(D40,'SOR RATE'!A:D,4,0)</f>
        <v>62</v>
      </c>
      <c r="G40" s="270">
        <v>6</v>
      </c>
      <c r="H40" s="271">
        <f t="shared" si="1"/>
        <v>372</v>
      </c>
    </row>
    <row r="41" spans="1:8" ht="15" customHeight="1">
      <c r="A41" s="1487"/>
      <c r="B41" s="276">
        <v>19</v>
      </c>
      <c r="C41" s="272" t="s">
        <v>2037</v>
      </c>
      <c r="D41" s="408">
        <v>7130600173</v>
      </c>
      <c r="E41" s="270" t="s">
        <v>1070</v>
      </c>
      <c r="F41" s="271">
        <f>VLOOKUP(D41,'SOR RATE'!A:D,4,0)/1000</f>
        <v>40.214</v>
      </c>
      <c r="G41" s="270">
        <v>100</v>
      </c>
      <c r="H41" s="271">
        <f t="shared" si="1"/>
        <v>4021.3999999999996</v>
      </c>
    </row>
    <row r="42" spans="1:8" ht="15" customHeight="1">
      <c r="A42" s="1487"/>
      <c r="B42" s="1473">
        <v>20</v>
      </c>
      <c r="C42" s="674" t="s">
        <v>2038</v>
      </c>
      <c r="D42" s="398"/>
      <c r="E42" s="270" t="s">
        <v>1041</v>
      </c>
      <c r="F42" s="271">
        <v>20000</v>
      </c>
      <c r="G42" s="270"/>
      <c r="H42" s="271"/>
    </row>
    <row r="43" spans="1:8" ht="27.75" customHeight="1">
      <c r="A43" s="1487"/>
      <c r="B43" s="1474"/>
      <c r="C43" s="679" t="s">
        <v>2039</v>
      </c>
      <c r="D43" s="408">
        <v>7130642039</v>
      </c>
      <c r="E43" s="270" t="s">
        <v>1061</v>
      </c>
      <c r="F43" s="271">
        <f>VLOOKUP(D43,'SOR RATE'!A:D,4,0)</f>
        <v>820</v>
      </c>
      <c r="G43" s="270">
        <v>12</v>
      </c>
      <c r="H43" s="271">
        <f aca="true" t="shared" si="2" ref="H43:H48">G43*F43</f>
        <v>9840</v>
      </c>
    </row>
    <row r="44" spans="1:12" ht="15" customHeight="1">
      <c r="A44" s="1487"/>
      <c r="B44" s="1474"/>
      <c r="C44" s="278" t="s">
        <v>1017</v>
      </c>
      <c r="D44" s="408">
        <v>7130600173</v>
      </c>
      <c r="E44" s="270" t="s">
        <v>1070</v>
      </c>
      <c r="F44" s="271">
        <f>VLOOKUP(D44,'SOR RATE'!A:D,4,0)/1000</f>
        <v>40.214</v>
      </c>
      <c r="G44" s="454">
        <v>60</v>
      </c>
      <c r="H44" s="271">
        <f t="shared" si="2"/>
        <v>2412.84</v>
      </c>
      <c r="I44" s="680"/>
      <c r="J44" s="681"/>
      <c r="K44" s="681"/>
      <c r="L44" s="681"/>
    </row>
    <row r="45" spans="1:8" ht="15" customHeight="1">
      <c r="A45" s="1487"/>
      <c r="B45" s="1474"/>
      <c r="C45" s="316" t="s">
        <v>2040</v>
      </c>
      <c r="D45" s="408">
        <v>7130870043</v>
      </c>
      <c r="E45" s="270" t="s">
        <v>1070</v>
      </c>
      <c r="F45" s="271">
        <f>VLOOKUP(D45,'SOR RATE'!A:D,4,0)/1000</f>
        <v>55.094</v>
      </c>
      <c r="G45" s="454">
        <v>10</v>
      </c>
      <c r="H45" s="271">
        <f t="shared" si="2"/>
        <v>550.94</v>
      </c>
    </row>
    <row r="46" spans="1:8" ht="15" customHeight="1">
      <c r="A46" s="1487"/>
      <c r="B46" s="1474"/>
      <c r="C46" s="254" t="s">
        <v>2041</v>
      </c>
      <c r="D46" s="408">
        <v>7130620133</v>
      </c>
      <c r="E46" s="270" t="s">
        <v>1070</v>
      </c>
      <c r="F46" s="271">
        <f>VLOOKUP(D46,'SOR RATE'!A:D,4,0)</f>
        <v>89</v>
      </c>
      <c r="G46" s="454">
        <v>5</v>
      </c>
      <c r="H46" s="271">
        <f t="shared" si="2"/>
        <v>445</v>
      </c>
    </row>
    <row r="47" spans="1:12" ht="15" customHeight="1">
      <c r="A47" s="1487"/>
      <c r="B47" s="1474"/>
      <c r="C47" s="273" t="s">
        <v>418</v>
      </c>
      <c r="D47" s="398">
        <v>7130620140</v>
      </c>
      <c r="E47" s="270" t="s">
        <v>1070</v>
      </c>
      <c r="F47" s="271">
        <f>VLOOKUP(D47,'SOR RATE'!A:D,4,0)</f>
        <v>89</v>
      </c>
      <c r="G47" s="454">
        <v>4</v>
      </c>
      <c r="H47" s="271">
        <f t="shared" si="2"/>
        <v>356</v>
      </c>
      <c r="I47" s="682"/>
      <c r="J47" s="213"/>
      <c r="K47" s="213"/>
      <c r="L47" s="213"/>
    </row>
    <row r="48" spans="1:8" ht="15" customHeight="1">
      <c r="A48" s="1487"/>
      <c r="B48" s="1475"/>
      <c r="C48" s="278" t="s">
        <v>2042</v>
      </c>
      <c r="D48" s="408">
        <v>7130622922</v>
      </c>
      <c r="E48" s="270" t="s">
        <v>1070</v>
      </c>
      <c r="F48" s="271">
        <f>VLOOKUP(D48,'SOR RATE'!A:D,4,0)</f>
        <v>127</v>
      </c>
      <c r="G48" s="454">
        <v>1</v>
      </c>
      <c r="H48" s="271">
        <f t="shared" si="2"/>
        <v>127</v>
      </c>
    </row>
    <row r="49" spans="1:8" ht="15" customHeight="1">
      <c r="A49" s="1488"/>
      <c r="B49" s="283"/>
      <c r="C49" s="674" t="s">
        <v>2043</v>
      </c>
      <c r="D49" s="645"/>
      <c r="E49" s="283"/>
      <c r="F49" s="283"/>
      <c r="G49" s="283"/>
      <c r="H49" s="285">
        <f>SUM(H14:H48)</f>
        <v>1129486.22</v>
      </c>
    </row>
    <row r="50" spans="1:10" ht="15" customHeight="1">
      <c r="A50" s="683">
        <v>3</v>
      </c>
      <c r="B50" s="270"/>
      <c r="C50" s="463" t="s">
        <v>770</v>
      </c>
      <c r="D50" s="398"/>
      <c r="E50" s="270"/>
      <c r="F50" s="270">
        <v>0.09</v>
      </c>
      <c r="G50" s="270"/>
      <c r="H50" s="271">
        <f>H49*F50</f>
        <v>101653.7598</v>
      </c>
      <c r="I50" s="583"/>
      <c r="J50" s="584"/>
    </row>
    <row r="51" spans="1:9" ht="15" customHeight="1">
      <c r="A51" s="683">
        <v>4</v>
      </c>
      <c r="B51" s="270"/>
      <c r="C51" s="272" t="s">
        <v>2044</v>
      </c>
      <c r="D51" s="398"/>
      <c r="E51" s="270" t="s">
        <v>1061</v>
      </c>
      <c r="F51" s="271">
        <f>1187*1.27*1.0891*1.086275*1.1112*1.0685</f>
        <v>2117.525952622038</v>
      </c>
      <c r="G51" s="270">
        <v>1</v>
      </c>
      <c r="H51" s="271">
        <f>G51*F51</f>
        <v>2117.525952622038</v>
      </c>
      <c r="I51" s="373"/>
    </row>
    <row r="52" spans="1:12" ht="15" customHeight="1">
      <c r="A52" s="635">
        <v>5</v>
      </c>
      <c r="B52" s="270"/>
      <c r="C52" s="273" t="s">
        <v>2045</v>
      </c>
      <c r="D52" s="398"/>
      <c r="E52" s="270"/>
      <c r="F52" s="271"/>
      <c r="G52" s="270"/>
      <c r="H52" s="271">
        <v>67276.04</v>
      </c>
      <c r="I52" s="623"/>
      <c r="J52" s="624"/>
      <c r="K52" s="624"/>
      <c r="L52" s="625"/>
    </row>
    <row r="53" spans="1:16" ht="15" customHeight="1">
      <c r="A53" s="683">
        <v>6</v>
      </c>
      <c r="B53" s="270"/>
      <c r="C53" s="272" t="s">
        <v>798</v>
      </c>
      <c r="D53" s="398"/>
      <c r="E53" s="270"/>
      <c r="F53" s="270"/>
      <c r="G53" s="270"/>
      <c r="H53" s="271">
        <f>23594*1.1402*0.9368</f>
        <v>25201.68005984</v>
      </c>
      <c r="I53" s="615"/>
      <c r="J53" s="44"/>
      <c r="K53" s="44"/>
      <c r="L53" s="44"/>
      <c r="M53" s="44"/>
      <c r="N53" s="44"/>
      <c r="O53" s="44"/>
      <c r="P53" s="44"/>
    </row>
    <row r="54" spans="1:9" ht="15" customHeight="1">
      <c r="A54" s="684">
        <v>7</v>
      </c>
      <c r="B54" s="270"/>
      <c r="C54" s="491" t="s">
        <v>772</v>
      </c>
      <c r="D54" s="398"/>
      <c r="E54" s="270"/>
      <c r="F54" s="270"/>
      <c r="G54" s="270"/>
      <c r="H54" s="285">
        <f>H49+H50+H51+H52+H53</f>
        <v>1325735.225812462</v>
      </c>
      <c r="I54" s="590"/>
    </row>
    <row r="55" spans="1:9" ht="28.5" customHeight="1">
      <c r="A55" s="683">
        <v>8</v>
      </c>
      <c r="B55" s="270"/>
      <c r="C55" s="463" t="s">
        <v>773</v>
      </c>
      <c r="D55" s="398"/>
      <c r="E55" s="270"/>
      <c r="F55" s="270">
        <v>0.11</v>
      </c>
      <c r="G55" s="270"/>
      <c r="H55" s="271">
        <f>H49*F55</f>
        <v>124243.48419999999</v>
      </c>
      <c r="I55" s="590"/>
    </row>
    <row r="56" spans="1:8" ht="15" customHeight="1">
      <c r="A56" s="683">
        <v>9</v>
      </c>
      <c r="B56" s="270"/>
      <c r="C56" s="272" t="s">
        <v>2046</v>
      </c>
      <c r="D56" s="398"/>
      <c r="E56" s="270"/>
      <c r="F56" s="270"/>
      <c r="G56" s="270"/>
      <c r="H56" s="271">
        <f>H12+H54+H55</f>
        <v>1502250.710012462</v>
      </c>
    </row>
    <row r="57" spans="1:8" ht="15" customHeight="1">
      <c r="A57" s="685">
        <v>10</v>
      </c>
      <c r="B57" s="358"/>
      <c r="C57" s="617" t="s">
        <v>2047</v>
      </c>
      <c r="D57" s="686"/>
      <c r="E57" s="358"/>
      <c r="F57" s="358"/>
      <c r="G57" s="358"/>
      <c r="H57" s="359">
        <f>ROUND(H56,0)</f>
        <v>1502251</v>
      </c>
    </row>
    <row r="58" spans="2:5" ht="15" customHeight="1">
      <c r="B58" s="573"/>
      <c r="C58" s="375"/>
      <c r="D58" s="628"/>
      <c r="E58" s="687"/>
    </row>
    <row r="59" spans="1:8" ht="16.5" customHeight="1">
      <c r="A59" s="571"/>
      <c r="B59" s="22"/>
      <c r="C59" s="1484" t="s">
        <v>338</v>
      </c>
      <c r="D59" s="1485"/>
      <c r="E59" s="375"/>
      <c r="H59" s="373"/>
    </row>
    <row r="60" spans="1:8" ht="14.25" customHeight="1">
      <c r="A60" s="573"/>
      <c r="B60" s="688"/>
      <c r="C60" s="56"/>
      <c r="D60" s="689"/>
      <c r="E60" s="56"/>
      <c r="F60" s="56"/>
      <c r="G60" s="56"/>
      <c r="H60" s="56"/>
    </row>
    <row r="82" spans="3:8" ht="12.75">
      <c r="C82" s="107"/>
      <c r="D82" s="690"/>
      <c r="E82" s="107"/>
      <c r="F82" s="107"/>
      <c r="G82" s="107"/>
      <c r="H82" s="107"/>
    </row>
    <row r="85" spans="1:8" ht="15">
      <c r="A85" s="175"/>
      <c r="B85" s="175"/>
      <c r="C85" s="691"/>
      <c r="D85" s="692"/>
      <c r="E85" s="691"/>
      <c r="F85" s="691"/>
      <c r="G85" s="691"/>
      <c r="H85" s="691"/>
    </row>
    <row r="86" spans="1:8" ht="18">
      <c r="A86" s="377"/>
      <c r="B86" s="377"/>
      <c r="C86" s="916" t="s">
        <v>904</v>
      </c>
      <c r="D86" s="2"/>
      <c r="F86" s="377"/>
      <c r="G86" s="377"/>
      <c r="H86" s="377"/>
    </row>
    <row r="87" ht="12.75">
      <c r="D87" s="2"/>
    </row>
    <row r="88" spans="3:5" ht="14.25">
      <c r="C88" s="290" t="s">
        <v>1991</v>
      </c>
      <c r="D88" s="266">
        <v>7130820158</v>
      </c>
      <c r="E88" s="241" t="s">
        <v>1130</v>
      </c>
    </row>
  </sheetData>
  <sheetProtection/>
  <mergeCells count="11">
    <mergeCell ref="A8:A12"/>
    <mergeCell ref="A13:A49"/>
    <mergeCell ref="B16:B17"/>
    <mergeCell ref="B28:B30"/>
    <mergeCell ref="B34:B40"/>
    <mergeCell ref="B42:B48"/>
    <mergeCell ref="C59:D59"/>
    <mergeCell ref="C1:E1"/>
    <mergeCell ref="C3:F3"/>
    <mergeCell ref="B6:C6"/>
    <mergeCell ref="B7:C7"/>
  </mergeCells>
  <printOptions horizontalCentered="1"/>
  <pageMargins left="0.72" right="0.16" top="0.87" bottom="0.39" header="0.61" footer="0.17"/>
  <pageSetup horizontalDpi="600" verticalDpi="600" orientation="landscape" scale="120" r:id="rId1"/>
</worksheet>
</file>

<file path=xl/worksheets/sheet3.xml><?xml version="1.0" encoding="utf-8"?>
<worksheet xmlns="http://schemas.openxmlformats.org/spreadsheetml/2006/main" xmlns:r="http://schemas.openxmlformats.org/officeDocument/2006/relationships">
  <sheetPr>
    <tabColor indexed="11"/>
  </sheetPr>
  <dimension ref="A1:P82"/>
  <sheetViews>
    <sheetView zoomScale="85" zoomScaleNormal="85" zoomScaleSheetLayoutView="70" zoomScalePageLayoutView="0" workbookViewId="0" topLeftCell="A1">
      <pane xSplit="2" ySplit="9" topLeftCell="D58"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4.28125" style="11" customWidth="1"/>
    <col min="2" max="2" width="41.140625" style="1" customWidth="1"/>
    <col min="3" max="3" width="14.8515625" style="65" customWidth="1"/>
    <col min="4" max="4" width="5.57421875" style="11" customWidth="1"/>
    <col min="5" max="5" width="7.140625" style="12" customWidth="1"/>
    <col min="6" max="6" width="9.57421875" style="12" customWidth="1"/>
    <col min="7" max="7" width="12.28125" style="12" customWidth="1"/>
    <col min="8" max="8" width="6.57421875" style="12" bestFit="1" customWidth="1"/>
    <col min="9" max="9" width="9.8515625" style="12" bestFit="1" customWidth="1"/>
    <col min="10" max="10" width="12.28125" style="12" customWidth="1"/>
    <col min="11" max="11" width="6.57421875" style="12" bestFit="1" customWidth="1"/>
    <col min="12" max="12" width="9.57421875" style="12" customWidth="1"/>
    <col min="13" max="13" width="12.28125" style="12" customWidth="1"/>
    <col min="14" max="14" width="9.140625" style="1" customWidth="1"/>
    <col min="15" max="15" width="30.8515625" style="1" bestFit="1" customWidth="1"/>
    <col min="16" max="16" width="13.140625" style="1" customWidth="1"/>
    <col min="17" max="16384" width="9.140625" style="1" customWidth="1"/>
  </cols>
  <sheetData>
    <row r="1" spans="2:13" ht="18" customHeight="1">
      <c r="B1" s="108"/>
      <c r="C1" s="1257" t="s">
        <v>1948</v>
      </c>
      <c r="D1" s="1257"/>
      <c r="E1" s="1257"/>
      <c r="F1" s="1257"/>
      <c r="G1" s="1257"/>
      <c r="H1" s="108"/>
      <c r="I1" s="108"/>
      <c r="J1" s="108"/>
      <c r="K1" s="108"/>
      <c r="L1" s="108"/>
      <c r="M1" s="108"/>
    </row>
    <row r="2" spans="1:13" ht="13.5" customHeight="1">
      <c r="A2" s="109"/>
      <c r="B2" s="109"/>
      <c r="C2" s="109"/>
      <c r="D2" s="109"/>
      <c r="E2" s="109"/>
      <c r="F2" s="109"/>
      <c r="G2" s="109"/>
      <c r="H2" s="109"/>
      <c r="I2" s="109"/>
      <c r="J2" s="109"/>
      <c r="K2" s="109"/>
      <c r="L2" s="109"/>
      <c r="M2" s="109"/>
    </row>
    <row r="3" spans="2:13" ht="39" customHeight="1">
      <c r="B3" s="1262" t="s">
        <v>1173</v>
      </c>
      <c r="C3" s="1262"/>
      <c r="D3" s="1262"/>
      <c r="E3" s="1262"/>
      <c r="F3" s="1262"/>
      <c r="G3" s="1262"/>
      <c r="H3" s="1262"/>
      <c r="I3" s="1262"/>
      <c r="J3" s="1262"/>
      <c r="K3" s="110"/>
      <c r="L3" s="110"/>
      <c r="M3" s="110"/>
    </row>
    <row r="4" spans="1:13" ht="10.5" customHeight="1">
      <c r="A4" s="1258"/>
      <c r="B4" s="1258"/>
      <c r="C4" s="1258"/>
      <c r="D4" s="1258"/>
      <c r="E4" s="1258"/>
      <c r="F4" s="1258"/>
      <c r="G4" s="1258"/>
      <c r="H4" s="1258"/>
      <c r="I4" s="1258"/>
      <c r="J4" s="1258"/>
      <c r="K4" s="891"/>
      <c r="L4" s="891"/>
      <c r="M4" s="891"/>
    </row>
    <row r="5" spans="1:13" ht="15.75" customHeight="1">
      <c r="A5" s="113"/>
      <c r="B5" s="180"/>
      <c r="C5" s="112"/>
      <c r="D5" s="113"/>
      <c r="E5" s="113"/>
      <c r="F5" s="113"/>
      <c r="G5" s="113"/>
      <c r="H5" s="114"/>
      <c r="I5" s="114"/>
      <c r="J5" s="895" t="s">
        <v>1153</v>
      </c>
      <c r="K5" s="1252" t="s">
        <v>1152</v>
      </c>
      <c r="L5" s="1252"/>
      <c r="M5" s="1252"/>
    </row>
    <row r="6" spans="1:13" ht="17.25" customHeight="1">
      <c r="A6" s="113"/>
      <c r="B6" s="111"/>
      <c r="C6" s="112"/>
      <c r="D6" s="113"/>
      <c r="E6" s="113"/>
      <c r="F6" s="113"/>
      <c r="G6" s="113"/>
      <c r="H6" s="114"/>
      <c r="I6" s="114"/>
      <c r="J6" s="115"/>
      <c r="K6" s="115"/>
      <c r="L6" s="115"/>
      <c r="M6" s="115"/>
    </row>
    <row r="7" spans="1:13" ht="33.75" customHeight="1">
      <c r="A7" s="1263" t="s">
        <v>1056</v>
      </c>
      <c r="B7" s="1263" t="s">
        <v>1057</v>
      </c>
      <c r="C7" s="1266" t="s">
        <v>1331</v>
      </c>
      <c r="D7" s="1263" t="s">
        <v>1058</v>
      </c>
      <c r="E7" s="1256" t="s">
        <v>1059</v>
      </c>
      <c r="F7" s="1256"/>
      <c r="G7" s="1256"/>
      <c r="H7" s="1256" t="s">
        <v>1047</v>
      </c>
      <c r="I7" s="1256"/>
      <c r="J7" s="1256"/>
      <c r="K7" s="1253" t="s">
        <v>1603</v>
      </c>
      <c r="L7" s="1254"/>
      <c r="M7" s="1255"/>
    </row>
    <row r="8" spans="1:13" s="62" customFormat="1" ht="16.5" customHeight="1">
      <c r="A8" s="1263"/>
      <c r="B8" s="1263"/>
      <c r="C8" s="1267"/>
      <c r="D8" s="1263"/>
      <c r="E8" s="6" t="s">
        <v>1329</v>
      </c>
      <c r="F8" s="6" t="s">
        <v>1018</v>
      </c>
      <c r="G8" s="6" t="s">
        <v>1434</v>
      </c>
      <c r="H8" s="6" t="s">
        <v>1329</v>
      </c>
      <c r="I8" s="6" t="s">
        <v>1018</v>
      </c>
      <c r="J8" s="6" t="s">
        <v>1434</v>
      </c>
      <c r="K8" s="6" t="s">
        <v>1329</v>
      </c>
      <c r="L8" s="6" t="s">
        <v>361</v>
      </c>
      <c r="M8" s="6" t="s">
        <v>1434</v>
      </c>
    </row>
    <row r="9" spans="1:13" s="62" customFormat="1" ht="15.75">
      <c r="A9" s="116">
        <v>1</v>
      </c>
      <c r="B9" s="116">
        <v>2</v>
      </c>
      <c r="C9" s="30">
        <v>3</v>
      </c>
      <c r="D9" s="116">
        <v>4</v>
      </c>
      <c r="E9" s="66">
        <v>5</v>
      </c>
      <c r="F9" s="66">
        <v>6</v>
      </c>
      <c r="G9" s="66">
        <v>7</v>
      </c>
      <c r="H9" s="66">
        <v>8</v>
      </c>
      <c r="I9" s="66">
        <v>9</v>
      </c>
      <c r="J9" s="66">
        <v>10</v>
      </c>
      <c r="K9" s="66">
        <v>11</v>
      </c>
      <c r="L9" s="66">
        <v>12</v>
      </c>
      <c r="M9" s="66">
        <v>13</v>
      </c>
    </row>
    <row r="10" spans="1:13" ht="21" customHeight="1">
      <c r="A10" s="3">
        <v>1</v>
      </c>
      <c r="B10" s="224" t="s">
        <v>1321</v>
      </c>
      <c r="C10" s="19">
        <v>7130800033</v>
      </c>
      <c r="D10" s="3" t="s">
        <v>1061</v>
      </c>
      <c r="E10" s="225">
        <v>10</v>
      </c>
      <c r="F10" s="4">
        <f>VLOOKUP(C10,'SOR RATE'!A:D,4,0)</f>
        <v>3129</v>
      </c>
      <c r="G10" s="4">
        <f>F10*E10</f>
        <v>31290</v>
      </c>
      <c r="H10" s="4"/>
      <c r="I10" s="4"/>
      <c r="J10" s="4"/>
      <c r="K10" s="4"/>
      <c r="L10" s="4"/>
      <c r="M10" s="4"/>
    </row>
    <row r="11" spans="1:13" ht="36.75" customHeight="1">
      <c r="A11" s="3" t="s">
        <v>1117</v>
      </c>
      <c r="B11" s="224" t="s">
        <v>375</v>
      </c>
      <c r="C11" s="19">
        <v>7130601958</v>
      </c>
      <c r="D11" s="3" t="s">
        <v>1070</v>
      </c>
      <c r="E11" s="4"/>
      <c r="F11" s="4"/>
      <c r="G11" s="4"/>
      <c r="H11" s="225">
        <v>4823</v>
      </c>
      <c r="I11" s="936">
        <f>VLOOKUP(C11,'SOR RATE'!A:D,4,0)/1000</f>
        <v>44.989</v>
      </c>
      <c r="J11" s="4">
        <f>I11*H11</f>
        <v>216981.947</v>
      </c>
      <c r="K11" s="4"/>
      <c r="L11" s="4"/>
      <c r="M11" s="4"/>
    </row>
    <row r="12" spans="1:13" ht="36.75" customHeight="1">
      <c r="A12" s="3" t="s">
        <v>1118</v>
      </c>
      <c r="B12" s="224" t="s">
        <v>1115</v>
      </c>
      <c r="C12" s="19">
        <v>7130601072</v>
      </c>
      <c r="D12" s="3" t="s">
        <v>1070</v>
      </c>
      <c r="E12" s="4"/>
      <c r="F12" s="4"/>
      <c r="G12" s="4"/>
      <c r="H12" s="225"/>
      <c r="I12" s="936"/>
      <c r="J12" s="4"/>
      <c r="K12" s="4"/>
      <c r="L12" s="4"/>
      <c r="M12" s="4"/>
    </row>
    <row r="13" spans="1:15" ht="23.25" customHeight="1">
      <c r="A13" s="3" t="s">
        <v>1628</v>
      </c>
      <c r="B13" s="224" t="s">
        <v>1604</v>
      </c>
      <c r="C13" s="19"/>
      <c r="D13" s="3" t="s">
        <v>1061</v>
      </c>
      <c r="E13" s="4"/>
      <c r="F13" s="4"/>
      <c r="G13" s="4"/>
      <c r="H13" s="225"/>
      <c r="I13" s="936"/>
      <c r="J13" s="4"/>
      <c r="K13" s="225">
        <v>10</v>
      </c>
      <c r="L13" s="4">
        <v>5022</v>
      </c>
      <c r="M13" s="4">
        <f>K13*L13</f>
        <v>50220</v>
      </c>
      <c r="O13" s="904" t="s">
        <v>1605</v>
      </c>
    </row>
    <row r="14" spans="1:13" ht="19.5" customHeight="1">
      <c r="A14" s="19">
        <v>5</v>
      </c>
      <c r="B14" s="224" t="s">
        <v>811</v>
      </c>
      <c r="C14" s="19">
        <v>7130810595</v>
      </c>
      <c r="D14" s="3" t="s">
        <v>1061</v>
      </c>
      <c r="E14" s="225">
        <v>10</v>
      </c>
      <c r="F14" s="4">
        <f>VLOOKUP(C14,'SOR RATE'!A:D,4,0)</f>
        <v>2332</v>
      </c>
      <c r="G14" s="4">
        <f>F14*E14</f>
        <v>23320</v>
      </c>
      <c r="H14" s="225">
        <v>10</v>
      </c>
      <c r="I14" s="936">
        <f>VLOOKUP(C14,'SOR RATE'!A:D,4,0)</f>
        <v>2332</v>
      </c>
      <c r="J14" s="4">
        <f>I14*H14</f>
        <v>23320</v>
      </c>
      <c r="K14" s="225">
        <v>10</v>
      </c>
      <c r="L14" s="4">
        <f>VLOOKUP(C14,'SOR RATE'!A:D,4,0)</f>
        <v>2332</v>
      </c>
      <c r="M14" s="4">
        <f aca="true" t="shared" si="0" ref="M14:M52">K14*L14</f>
        <v>23320</v>
      </c>
    </row>
    <row r="15" spans="1:13" ht="20.25" customHeight="1">
      <c r="A15" s="1259">
        <v>6</v>
      </c>
      <c r="B15" s="224" t="s">
        <v>1298</v>
      </c>
      <c r="C15" s="937"/>
      <c r="D15" s="937"/>
      <c r="E15" s="938"/>
      <c r="F15" s="938"/>
      <c r="G15" s="938"/>
      <c r="H15" s="938"/>
      <c r="I15" s="938"/>
      <c r="J15" s="939"/>
      <c r="K15" s="225"/>
      <c r="L15" s="4"/>
      <c r="M15" s="4"/>
    </row>
    <row r="16" spans="1:13" ht="18.75" customHeight="1">
      <c r="A16" s="1260"/>
      <c r="B16" s="224" t="s">
        <v>1958</v>
      </c>
      <c r="C16" s="19">
        <v>7130810193</v>
      </c>
      <c r="D16" s="3" t="s">
        <v>1061</v>
      </c>
      <c r="E16" s="225">
        <v>10</v>
      </c>
      <c r="F16" s="4">
        <f>VLOOKUP(C16,'SOR RATE'!A:D,4,0)</f>
        <v>265</v>
      </c>
      <c r="G16" s="4">
        <f>F16*E16</f>
        <v>2650</v>
      </c>
      <c r="H16" s="4"/>
      <c r="I16" s="4"/>
      <c r="J16" s="4"/>
      <c r="K16" s="225">
        <v>10</v>
      </c>
      <c r="L16" s="4">
        <f>VLOOKUP(C16,'SOR RATE'!A:D,4,0)</f>
        <v>265</v>
      </c>
      <c r="M16" s="4">
        <f t="shared" si="0"/>
        <v>2650</v>
      </c>
    </row>
    <row r="17" spans="1:13" ht="18.75" customHeight="1">
      <c r="A17" s="1260"/>
      <c r="B17" s="224" t="s">
        <v>436</v>
      </c>
      <c r="C17" s="19">
        <v>7130810692</v>
      </c>
      <c r="D17" s="3" t="s">
        <v>1061</v>
      </c>
      <c r="E17" s="225"/>
      <c r="F17" s="4"/>
      <c r="G17" s="4"/>
      <c r="H17" s="225">
        <v>10</v>
      </c>
      <c r="I17" s="936">
        <f>VLOOKUP(C17,'SOR RATE'!A:D,4,0)</f>
        <v>294</v>
      </c>
      <c r="J17" s="4">
        <f aca="true" t="shared" si="1" ref="J17:J25">I17*H17</f>
        <v>2940</v>
      </c>
      <c r="K17" s="225"/>
      <c r="L17" s="4"/>
      <c r="M17" s="4"/>
    </row>
    <row r="18" spans="1:13" ht="18.75" customHeight="1">
      <c r="A18" s="1260"/>
      <c r="B18" s="224" t="s">
        <v>1963</v>
      </c>
      <c r="C18" s="19">
        <v>7130810201</v>
      </c>
      <c r="D18" s="3" t="s">
        <v>1061</v>
      </c>
      <c r="E18" s="225"/>
      <c r="F18" s="4"/>
      <c r="G18" s="4"/>
      <c r="H18" s="225"/>
      <c r="I18" s="936"/>
      <c r="J18" s="4"/>
      <c r="K18" s="225"/>
      <c r="L18" s="4"/>
      <c r="M18" s="4"/>
    </row>
    <row r="19" spans="1:13" ht="18.75" customHeight="1">
      <c r="A19" s="1261"/>
      <c r="B19" s="224" t="s">
        <v>1964</v>
      </c>
      <c r="C19" s="19">
        <v>7130810251</v>
      </c>
      <c r="D19" s="3" t="s">
        <v>1061</v>
      </c>
      <c r="E19" s="225"/>
      <c r="F19" s="4"/>
      <c r="G19" s="4"/>
      <c r="H19" s="225"/>
      <c r="I19" s="936"/>
      <c r="J19" s="4"/>
      <c r="K19" s="225"/>
      <c r="L19" s="4"/>
      <c r="M19" s="4"/>
    </row>
    <row r="20" spans="1:13" ht="20.25" customHeight="1">
      <c r="A20" s="19">
        <v>7</v>
      </c>
      <c r="B20" s="224" t="s">
        <v>503</v>
      </c>
      <c r="C20" s="19">
        <v>7130810676</v>
      </c>
      <c r="D20" s="3" t="s">
        <v>1061</v>
      </c>
      <c r="E20" s="225">
        <v>10</v>
      </c>
      <c r="F20" s="4">
        <f>VLOOKUP(C20,'SOR RATE'!A:D,4,0)</f>
        <v>388</v>
      </c>
      <c r="G20" s="4">
        <f aca="true" t="shared" si="2" ref="G20:G26">F20*E20</f>
        <v>3880</v>
      </c>
      <c r="H20" s="225">
        <v>10</v>
      </c>
      <c r="I20" s="936">
        <f>VLOOKUP(C20,'SOR RATE'!A:D,4,0)</f>
        <v>388</v>
      </c>
      <c r="J20" s="4">
        <f t="shared" si="1"/>
        <v>3880</v>
      </c>
      <c r="K20" s="225">
        <v>10</v>
      </c>
      <c r="L20" s="4">
        <f>VLOOKUP(C20,'SOR RATE'!A:D,4,0)</f>
        <v>388</v>
      </c>
      <c r="M20" s="4">
        <f t="shared" si="0"/>
        <v>3880</v>
      </c>
    </row>
    <row r="21" spans="1:13" ht="36" customHeight="1">
      <c r="A21" s="19">
        <v>8</v>
      </c>
      <c r="B21" s="224" t="s">
        <v>1062</v>
      </c>
      <c r="C21" s="19">
        <v>7130870013</v>
      </c>
      <c r="D21" s="3" t="s">
        <v>1061</v>
      </c>
      <c r="E21" s="225">
        <v>10</v>
      </c>
      <c r="F21" s="4">
        <f>VLOOKUP(C21,'SOR RATE'!A:D,4,0)</f>
        <v>100</v>
      </c>
      <c r="G21" s="4">
        <f t="shared" si="2"/>
        <v>1000</v>
      </c>
      <c r="H21" s="225">
        <v>10</v>
      </c>
      <c r="I21" s="936">
        <f>VLOOKUP(C21,'SOR RATE'!A:D,4,0)</f>
        <v>100</v>
      </c>
      <c r="J21" s="4">
        <f t="shared" si="1"/>
        <v>1000</v>
      </c>
      <c r="K21" s="225">
        <v>10</v>
      </c>
      <c r="L21" s="4">
        <f>VLOOKUP(C21,'SOR RATE'!A:D,4,0)</f>
        <v>100</v>
      </c>
      <c r="M21" s="4">
        <f t="shared" si="0"/>
        <v>1000</v>
      </c>
    </row>
    <row r="22" spans="1:15" ht="20.25" customHeight="1">
      <c r="A22" s="19">
        <v>9</v>
      </c>
      <c r="B22" s="224" t="s">
        <v>1147</v>
      </c>
      <c r="C22" s="19">
        <v>7130820009</v>
      </c>
      <c r="D22" s="3" t="s">
        <v>1061</v>
      </c>
      <c r="E22" s="225">
        <v>30</v>
      </c>
      <c r="F22" s="4">
        <f>VLOOKUP(C22,'SOR RATE'!A:D,4,0)</f>
        <v>388</v>
      </c>
      <c r="G22" s="4">
        <f t="shared" si="2"/>
        <v>11640</v>
      </c>
      <c r="H22" s="225">
        <v>30</v>
      </c>
      <c r="I22" s="936">
        <f>VLOOKUP(C22,'SOR RATE'!A:D,4,0)</f>
        <v>388</v>
      </c>
      <c r="J22" s="4">
        <f t="shared" si="1"/>
        <v>11640</v>
      </c>
      <c r="K22" s="225">
        <v>30</v>
      </c>
      <c r="L22" s="4">
        <f>VLOOKUP(C22,'SOR RATE'!A:D,4,0)</f>
        <v>388</v>
      </c>
      <c r="M22" s="4">
        <f t="shared" si="0"/>
        <v>11640</v>
      </c>
      <c r="O22" s="907" t="s">
        <v>1986</v>
      </c>
    </row>
    <row r="23" spans="1:15" ht="36.75" customHeight="1">
      <c r="A23" s="19">
        <v>10</v>
      </c>
      <c r="B23" s="224" t="s">
        <v>1063</v>
      </c>
      <c r="C23" s="19">
        <v>7130830060</v>
      </c>
      <c r="D23" s="3" t="s">
        <v>1322</v>
      </c>
      <c r="E23" s="225">
        <v>3100</v>
      </c>
      <c r="F23" s="4">
        <f>VLOOKUP(C23,'SOR RATE'!A:D,4,0)/1000</f>
        <v>50.002</v>
      </c>
      <c r="G23" s="4">
        <f t="shared" si="2"/>
        <v>155006.2</v>
      </c>
      <c r="H23" s="225">
        <v>3100</v>
      </c>
      <c r="I23" s="936">
        <f>VLOOKUP(C23,'SOR RATE'!A:D,4,0)/1000</f>
        <v>50.002</v>
      </c>
      <c r="J23" s="4">
        <f t="shared" si="1"/>
        <v>155006.2</v>
      </c>
      <c r="K23" s="225">
        <v>3100</v>
      </c>
      <c r="L23" s="4">
        <f>VLOOKUP(C23,'SOR RATE'!A:D,4,0)/1000</f>
        <v>50.002</v>
      </c>
      <c r="M23" s="4">
        <f t="shared" si="0"/>
        <v>155006.2</v>
      </c>
      <c r="O23" s="894"/>
    </row>
    <row r="24" spans="1:15" ht="35.25" customHeight="1">
      <c r="A24" s="19">
        <v>11</v>
      </c>
      <c r="B24" s="224" t="s">
        <v>989</v>
      </c>
      <c r="C24" s="19">
        <v>7130830050</v>
      </c>
      <c r="D24" s="3" t="s">
        <v>1061</v>
      </c>
      <c r="E24" s="225">
        <v>6</v>
      </c>
      <c r="F24" s="4">
        <f>VLOOKUP(C24,'SOR RATE'!A:D,4,0)</f>
        <v>32</v>
      </c>
      <c r="G24" s="4">
        <f t="shared" si="2"/>
        <v>192</v>
      </c>
      <c r="H24" s="225">
        <v>6</v>
      </c>
      <c r="I24" s="936">
        <f>VLOOKUP(C24,'SOR RATE'!A:D,4,0)</f>
        <v>32</v>
      </c>
      <c r="J24" s="4">
        <f t="shared" si="1"/>
        <v>192</v>
      </c>
      <c r="K24" s="225">
        <v>6</v>
      </c>
      <c r="L24" s="4">
        <f>VLOOKUP(C24,'SOR RATE'!A:D,4,0)</f>
        <v>32</v>
      </c>
      <c r="M24" s="4">
        <f t="shared" si="0"/>
        <v>192</v>
      </c>
      <c r="N24" s="98"/>
      <c r="O24" s="203"/>
    </row>
    <row r="25" spans="1:13" ht="20.25" customHeight="1">
      <c r="A25" s="1270">
        <v>12</v>
      </c>
      <c r="B25" s="224" t="s">
        <v>1954</v>
      </c>
      <c r="C25" s="19">
        <v>7130860033</v>
      </c>
      <c r="D25" s="3" t="s">
        <v>1061</v>
      </c>
      <c r="E25" s="225">
        <v>3</v>
      </c>
      <c r="F25" s="4">
        <f>VLOOKUP(C25,'SOR RATE'!A:D,4,0)</f>
        <v>705</v>
      </c>
      <c r="G25" s="4">
        <f t="shared" si="2"/>
        <v>2115</v>
      </c>
      <c r="H25" s="225">
        <v>3</v>
      </c>
      <c r="I25" s="936">
        <f>VLOOKUP(C25,'SOR RATE'!A:D,4,0)</f>
        <v>705</v>
      </c>
      <c r="J25" s="4">
        <f t="shared" si="1"/>
        <v>2115</v>
      </c>
      <c r="K25" s="225">
        <v>3</v>
      </c>
      <c r="L25" s="4">
        <f>VLOOKUP(C25,'SOR RATE'!A:D,4,0)</f>
        <v>705</v>
      </c>
      <c r="M25" s="4">
        <f t="shared" si="0"/>
        <v>2115</v>
      </c>
    </row>
    <row r="26" spans="1:13" ht="21.75" customHeight="1">
      <c r="A26" s="1271"/>
      <c r="B26" s="224" t="s">
        <v>1955</v>
      </c>
      <c r="C26" s="19">
        <v>7130810193</v>
      </c>
      <c r="D26" s="3" t="s">
        <v>1061</v>
      </c>
      <c r="E26" s="225">
        <v>3</v>
      </c>
      <c r="F26" s="4">
        <f>VLOOKUP(C26,'SOR RATE'!A:D,4,0)</f>
        <v>265</v>
      </c>
      <c r="G26" s="4">
        <f t="shared" si="2"/>
        <v>795</v>
      </c>
      <c r="H26" s="4"/>
      <c r="I26" s="4"/>
      <c r="J26" s="4"/>
      <c r="K26" s="225">
        <v>3</v>
      </c>
      <c r="L26" s="4">
        <f>VLOOKUP(C26,'SOR RATE'!A:D,4,0)</f>
        <v>265</v>
      </c>
      <c r="M26" s="4">
        <f t="shared" si="0"/>
        <v>795</v>
      </c>
    </row>
    <row r="27" spans="1:13" ht="20.25" customHeight="1">
      <c r="A27" s="1271"/>
      <c r="B27" s="224" t="s">
        <v>432</v>
      </c>
      <c r="C27" s="19">
        <v>7130810692</v>
      </c>
      <c r="D27" s="3" t="s">
        <v>1061</v>
      </c>
      <c r="E27" s="225"/>
      <c r="F27" s="4"/>
      <c r="G27" s="4"/>
      <c r="H27" s="225">
        <v>3</v>
      </c>
      <c r="I27" s="936">
        <f>VLOOKUP(C27,'SOR RATE'!A:D,4,0)</f>
        <v>294</v>
      </c>
      <c r="J27" s="4">
        <f>I27*H27</f>
        <v>882</v>
      </c>
      <c r="K27" s="4"/>
      <c r="L27" s="4"/>
      <c r="M27" s="4"/>
    </row>
    <row r="28" spans="1:13" ht="20.25" customHeight="1">
      <c r="A28" s="1271"/>
      <c r="B28" s="224" t="s">
        <v>1148</v>
      </c>
      <c r="C28" s="19">
        <v>7130810201</v>
      </c>
      <c r="D28" s="3" t="s">
        <v>1061</v>
      </c>
      <c r="E28" s="225"/>
      <c r="F28" s="4"/>
      <c r="G28" s="4"/>
      <c r="H28" s="225"/>
      <c r="I28" s="936"/>
      <c r="J28" s="4"/>
      <c r="K28" s="4"/>
      <c r="L28" s="4"/>
      <c r="M28" s="4"/>
    </row>
    <row r="29" spans="1:13" ht="20.25" customHeight="1">
      <c r="A29" s="1271"/>
      <c r="B29" s="224" t="s">
        <v>1149</v>
      </c>
      <c r="C29" s="19">
        <v>7130810251</v>
      </c>
      <c r="D29" s="3" t="s">
        <v>1061</v>
      </c>
      <c r="E29" s="225"/>
      <c r="F29" s="4"/>
      <c r="G29" s="4"/>
      <c r="H29" s="225"/>
      <c r="I29" s="936"/>
      <c r="J29" s="4"/>
      <c r="K29" s="4"/>
      <c r="L29" s="4"/>
      <c r="M29" s="4"/>
    </row>
    <row r="30" spans="1:13" ht="34.5" customHeight="1">
      <c r="A30" s="1272"/>
      <c r="B30" s="224" t="s">
        <v>1150</v>
      </c>
      <c r="C30" s="19">
        <v>7130860076</v>
      </c>
      <c r="D30" s="3" t="s">
        <v>1070</v>
      </c>
      <c r="E30" s="941">
        <v>25.5</v>
      </c>
      <c r="F30" s="4">
        <f>VLOOKUP(C30,'SOR RATE'!A:D,4,0)/1000</f>
        <v>61.002</v>
      </c>
      <c r="G30" s="4">
        <f>F30*E30</f>
        <v>1555.5510000000002</v>
      </c>
      <c r="H30" s="941">
        <f>+E30</f>
        <v>25.5</v>
      </c>
      <c r="I30" s="936">
        <f>VLOOKUP(C30,'SOR RATE'!A:D,4,0)/1000</f>
        <v>61.002</v>
      </c>
      <c r="J30" s="4">
        <f>I30*H30</f>
        <v>1555.5510000000002</v>
      </c>
      <c r="K30" s="941">
        <v>25.5</v>
      </c>
      <c r="L30" s="4">
        <f>VLOOKUP(C30,'SOR RATE'!A:D,4,0)/1000</f>
        <v>61.002</v>
      </c>
      <c r="M30" s="4">
        <f>K30*L30</f>
        <v>1555.5510000000002</v>
      </c>
    </row>
    <row r="31" spans="1:13" ht="78" customHeight="1">
      <c r="A31" s="935">
        <v>13</v>
      </c>
      <c r="B31" s="942" t="s">
        <v>243</v>
      </c>
      <c r="C31" s="943"/>
      <c r="D31" s="931" t="s">
        <v>1065</v>
      </c>
      <c r="E31" s="944">
        <v>1.3</v>
      </c>
      <c r="F31" s="943"/>
      <c r="G31" s="943"/>
      <c r="H31" s="944">
        <f>(10*0.65)+(5*0.3)</f>
        <v>8</v>
      </c>
      <c r="I31" s="943"/>
      <c r="J31" s="943"/>
      <c r="K31" s="944">
        <f>(10*0.65)+(5*0.3)</f>
        <v>8</v>
      </c>
      <c r="L31" s="4"/>
      <c r="M31" s="4"/>
    </row>
    <row r="32" spans="1:13" ht="19.5" customHeight="1">
      <c r="A32" s="19">
        <v>14</v>
      </c>
      <c r="B32" s="224" t="s">
        <v>1956</v>
      </c>
      <c r="C32" s="19">
        <v>7130200401</v>
      </c>
      <c r="D32" s="3" t="s">
        <v>1070</v>
      </c>
      <c r="E32" s="19">
        <f>1.3*208</f>
        <v>270.40000000000003</v>
      </c>
      <c r="F32" s="4">
        <f>VLOOKUP(C32,'SOR RATE'!A:D,4,0)/50</f>
        <v>5.36</v>
      </c>
      <c r="G32" s="4">
        <f aca="true" t="shared" si="3" ref="G32:G37">F32*E32</f>
        <v>1449.3440000000003</v>
      </c>
      <c r="H32" s="225">
        <f>H31*208</f>
        <v>1664</v>
      </c>
      <c r="I32" s="936">
        <f>VLOOKUP(C32,'SOR RATE'!A:D,4,0)/50</f>
        <v>5.36</v>
      </c>
      <c r="J32" s="4">
        <f aca="true" t="shared" si="4" ref="J32:J37">I32*H32</f>
        <v>8919.04</v>
      </c>
      <c r="K32" s="225">
        <f>K31*208</f>
        <v>1664</v>
      </c>
      <c r="L32" s="4">
        <f>VLOOKUP(C32,'SOR RATE'!A:D,4,0)/50</f>
        <v>5.36</v>
      </c>
      <c r="M32" s="4">
        <f t="shared" si="0"/>
        <v>8919.04</v>
      </c>
    </row>
    <row r="33" spans="1:13" ht="17.25" customHeight="1">
      <c r="A33" s="19">
        <v>15</v>
      </c>
      <c r="B33" s="224" t="s">
        <v>1066</v>
      </c>
      <c r="C33" s="19">
        <v>7130211158</v>
      </c>
      <c r="D33" s="3" t="s">
        <v>1067</v>
      </c>
      <c r="E33" s="941">
        <v>1.4</v>
      </c>
      <c r="F33" s="4">
        <f>VLOOKUP(C33,'SOR RATE'!A:D,4,0)</f>
        <v>130</v>
      </c>
      <c r="G33" s="4">
        <f t="shared" si="3"/>
        <v>182</v>
      </c>
      <c r="H33" s="225">
        <v>6</v>
      </c>
      <c r="I33" s="936">
        <f>VLOOKUP(C33,'SOR RATE'!A:D,4,0)</f>
        <v>130</v>
      </c>
      <c r="J33" s="4">
        <f t="shared" si="4"/>
        <v>780</v>
      </c>
      <c r="K33" s="941">
        <v>1.4</v>
      </c>
      <c r="L33" s="4">
        <f>VLOOKUP(C33,'SOR RATE'!A:D,4,0)</f>
        <v>130</v>
      </c>
      <c r="M33" s="4">
        <f t="shared" si="0"/>
        <v>182</v>
      </c>
    </row>
    <row r="34" spans="1:13" ht="17.25" customHeight="1">
      <c r="A34" s="19">
        <v>16</v>
      </c>
      <c r="B34" s="224" t="s">
        <v>1068</v>
      </c>
      <c r="C34" s="19">
        <v>7130210809</v>
      </c>
      <c r="D34" s="3" t="s">
        <v>1067</v>
      </c>
      <c r="E34" s="941">
        <v>1.5</v>
      </c>
      <c r="F34" s="4">
        <f>VLOOKUP(C34,'SOR RATE'!A:D,4,0)</f>
        <v>290</v>
      </c>
      <c r="G34" s="4">
        <f t="shared" si="3"/>
        <v>435</v>
      </c>
      <c r="H34" s="225">
        <v>6</v>
      </c>
      <c r="I34" s="936">
        <f>VLOOKUP(C34,'SOR RATE'!A:D,4,0)</f>
        <v>290</v>
      </c>
      <c r="J34" s="4">
        <f t="shared" si="4"/>
        <v>1740</v>
      </c>
      <c r="K34" s="941">
        <v>1.5</v>
      </c>
      <c r="L34" s="4">
        <f>VLOOKUP(C34,'SOR RATE'!A:D,4,0)</f>
        <v>290</v>
      </c>
      <c r="M34" s="4">
        <f t="shared" si="0"/>
        <v>435</v>
      </c>
    </row>
    <row r="35" spans="1:16" ht="20.25" customHeight="1">
      <c r="A35" s="19">
        <v>17</v>
      </c>
      <c r="B35" s="224" t="s">
        <v>430</v>
      </c>
      <c r="C35" s="19">
        <v>7130610206</v>
      </c>
      <c r="D35" s="3" t="s">
        <v>1070</v>
      </c>
      <c r="E35" s="225">
        <v>10</v>
      </c>
      <c r="F35" s="4">
        <f>VLOOKUP(C35,'SOR RATE'!A:D,4,0)/1000</f>
        <v>66.528</v>
      </c>
      <c r="G35" s="4">
        <f t="shared" si="3"/>
        <v>665.2800000000001</v>
      </c>
      <c r="H35" s="225">
        <v>10</v>
      </c>
      <c r="I35" s="936">
        <f>VLOOKUP(C35,'SOR RATE'!A:D,4,0)/1000</f>
        <v>66.528</v>
      </c>
      <c r="J35" s="4">
        <f t="shared" si="4"/>
        <v>665.2800000000001</v>
      </c>
      <c r="K35" s="225">
        <v>10</v>
      </c>
      <c r="L35" s="4">
        <f>VLOOKUP(C35,'SOR RATE'!A:D,4,0)/1000</f>
        <v>66.528</v>
      </c>
      <c r="M35" s="4">
        <f t="shared" si="0"/>
        <v>665.2800000000001</v>
      </c>
      <c r="N35" s="98"/>
      <c r="O35" s="144"/>
      <c r="P35" s="144"/>
    </row>
    <row r="36" spans="1:15" ht="19.5" customHeight="1">
      <c r="A36" s="19">
        <v>18</v>
      </c>
      <c r="B36" s="224" t="s">
        <v>1957</v>
      </c>
      <c r="C36" s="19">
        <v>7130880041</v>
      </c>
      <c r="D36" s="3" t="s">
        <v>1061</v>
      </c>
      <c r="E36" s="225">
        <v>10</v>
      </c>
      <c r="F36" s="4">
        <f>VLOOKUP(C36,'SOR RATE'!A:D,4,0)</f>
        <v>74</v>
      </c>
      <c r="G36" s="4">
        <f t="shared" si="3"/>
        <v>740</v>
      </c>
      <c r="H36" s="225">
        <v>10</v>
      </c>
      <c r="I36" s="936">
        <f>VLOOKUP(C36,'SOR RATE'!A:D,4,0)</f>
        <v>74</v>
      </c>
      <c r="J36" s="4">
        <f t="shared" si="4"/>
        <v>740</v>
      </c>
      <c r="K36" s="225">
        <v>10</v>
      </c>
      <c r="L36" s="4">
        <f>VLOOKUP(C36,'SOR RATE'!A:D,4,0)</f>
        <v>74</v>
      </c>
      <c r="M36" s="4">
        <f>K36*L36</f>
        <v>740</v>
      </c>
      <c r="O36" s="119"/>
    </row>
    <row r="37" spans="1:13" ht="20.25" customHeight="1">
      <c r="A37" s="19">
        <v>19</v>
      </c>
      <c r="B37" s="224" t="s">
        <v>988</v>
      </c>
      <c r="C37" s="19">
        <v>7130830006</v>
      </c>
      <c r="D37" s="3" t="s">
        <v>1070</v>
      </c>
      <c r="E37" s="941">
        <v>3.5</v>
      </c>
      <c r="F37" s="4">
        <f>VLOOKUP(C37,'SOR RATE'!A:D,4,0)</f>
        <v>139</v>
      </c>
      <c r="G37" s="4">
        <f t="shared" si="3"/>
        <v>486.5</v>
      </c>
      <c r="H37" s="941">
        <v>3.5</v>
      </c>
      <c r="I37" s="936">
        <f>VLOOKUP(C37,'SOR RATE'!A:D,4,0)</f>
        <v>139</v>
      </c>
      <c r="J37" s="4">
        <f t="shared" si="4"/>
        <v>486.5</v>
      </c>
      <c r="K37" s="941">
        <v>3.5</v>
      </c>
      <c r="L37" s="4">
        <f>VLOOKUP(C37,'SOR RATE'!A:D,4,0)</f>
        <v>139</v>
      </c>
      <c r="M37" s="4">
        <f t="shared" si="0"/>
        <v>486.5</v>
      </c>
    </row>
    <row r="38" spans="1:13" ht="15.75" customHeight="1">
      <c r="A38" s="1270">
        <v>20</v>
      </c>
      <c r="B38" s="224" t="s">
        <v>1071</v>
      </c>
      <c r="C38" s="19"/>
      <c r="D38" s="3" t="s">
        <v>1070</v>
      </c>
      <c r="E38" s="225">
        <v>17</v>
      </c>
      <c r="F38" s="4"/>
      <c r="G38" s="4"/>
      <c r="H38" s="225">
        <v>17</v>
      </c>
      <c r="I38" s="4"/>
      <c r="J38" s="4"/>
      <c r="K38" s="225">
        <v>17</v>
      </c>
      <c r="L38" s="4"/>
      <c r="M38" s="4"/>
    </row>
    <row r="39" spans="1:13" ht="15" customHeight="1">
      <c r="A39" s="1271"/>
      <c r="B39" s="224" t="s">
        <v>1949</v>
      </c>
      <c r="C39" s="19">
        <v>7130620614</v>
      </c>
      <c r="D39" s="3" t="s">
        <v>1070</v>
      </c>
      <c r="E39" s="225"/>
      <c r="F39" s="4">
        <f>VLOOKUP(C39,'SOR RATE'!A:D,4,0)</f>
        <v>63</v>
      </c>
      <c r="G39" s="4"/>
      <c r="H39" s="225">
        <v>7</v>
      </c>
      <c r="I39" s="936">
        <f>VLOOKUP(C39,'SOR RATE'!A:D,4,0)</f>
        <v>63</v>
      </c>
      <c r="J39" s="4">
        <f>I39*H39</f>
        <v>441</v>
      </c>
      <c r="K39" s="4"/>
      <c r="L39" s="4">
        <f>VLOOKUP(C39,'SOR RATE'!A:D,4,0)</f>
        <v>63</v>
      </c>
      <c r="M39" s="4"/>
    </row>
    <row r="40" spans="1:13" ht="15" customHeight="1">
      <c r="A40" s="1271"/>
      <c r="B40" s="224" t="s">
        <v>1950</v>
      </c>
      <c r="C40" s="19">
        <v>7130620619</v>
      </c>
      <c r="D40" s="3" t="s">
        <v>1070</v>
      </c>
      <c r="E40" s="225">
        <v>3</v>
      </c>
      <c r="F40" s="4">
        <f>VLOOKUP(C40,'SOR RATE'!A:D,4,0)</f>
        <v>63</v>
      </c>
      <c r="G40" s="4">
        <f>F40*E40</f>
        <v>189</v>
      </c>
      <c r="H40" s="4"/>
      <c r="I40" s="936">
        <f>VLOOKUP(C40,'SOR RATE'!A:D,4,0)</f>
        <v>63</v>
      </c>
      <c r="J40" s="945"/>
      <c r="K40" s="941">
        <v>3.5</v>
      </c>
      <c r="L40" s="4">
        <f>VLOOKUP(C40,'SOR RATE'!A:D,4,0)</f>
        <v>63</v>
      </c>
      <c r="M40" s="4">
        <f t="shared" si="0"/>
        <v>220.5</v>
      </c>
    </row>
    <row r="41" spans="1:13" ht="16.5" customHeight="1">
      <c r="A41" s="1271"/>
      <c r="B41" s="224" t="s">
        <v>1951</v>
      </c>
      <c r="C41" s="19">
        <v>7130620625</v>
      </c>
      <c r="D41" s="3" t="s">
        <v>1070</v>
      </c>
      <c r="E41" s="225"/>
      <c r="F41" s="4">
        <f>VLOOKUP(C41,'SOR RATE'!A:D,4,0)</f>
        <v>62</v>
      </c>
      <c r="G41" s="4"/>
      <c r="H41" s="225">
        <v>10</v>
      </c>
      <c r="I41" s="936">
        <f>VLOOKUP(C41,'SOR RATE'!A:D,4,0)</f>
        <v>62</v>
      </c>
      <c r="J41" s="4">
        <f>I41*H41</f>
        <v>620</v>
      </c>
      <c r="K41" s="941"/>
      <c r="L41" s="4">
        <f>VLOOKUP(C41,'SOR RATE'!A:D,4,0)</f>
        <v>62</v>
      </c>
      <c r="M41" s="4"/>
    </row>
    <row r="42" spans="1:13" ht="18.75" customHeight="1">
      <c r="A42" s="1272"/>
      <c r="B42" s="224" t="s">
        <v>1952</v>
      </c>
      <c r="C42" s="19">
        <v>7130620627</v>
      </c>
      <c r="D42" s="3" t="s">
        <v>1070</v>
      </c>
      <c r="E42" s="225">
        <v>14</v>
      </c>
      <c r="F42" s="4">
        <f>VLOOKUP(C42,'SOR RATE'!A:D,4,0)</f>
        <v>62</v>
      </c>
      <c r="G42" s="4">
        <f>F42*E42</f>
        <v>868</v>
      </c>
      <c r="H42" s="225"/>
      <c r="I42" s="936">
        <f>VLOOKUP(C42,'SOR RATE'!A:D,4,0)</f>
        <v>62</v>
      </c>
      <c r="J42" s="4"/>
      <c r="K42" s="941">
        <v>14.5</v>
      </c>
      <c r="L42" s="4">
        <f>VLOOKUP(C42,'SOR RATE'!A:D,4,0)</f>
        <v>62</v>
      </c>
      <c r="M42" s="4">
        <f t="shared" si="0"/>
        <v>899</v>
      </c>
    </row>
    <row r="43" spans="1:13" ht="18.75" customHeight="1">
      <c r="A43" s="1270">
        <v>21</v>
      </c>
      <c r="B43" s="224" t="s">
        <v>505</v>
      </c>
      <c r="C43" s="19"/>
      <c r="D43" s="917" t="s">
        <v>329</v>
      </c>
      <c r="E43" s="4"/>
      <c r="F43" s="6">
        <v>8369.31</v>
      </c>
      <c r="G43" s="4"/>
      <c r="H43" s="4"/>
      <c r="I43" s="6"/>
      <c r="J43" s="4"/>
      <c r="K43" s="4"/>
      <c r="L43" s="4"/>
      <c r="M43" s="4"/>
    </row>
    <row r="44" spans="1:13" ht="18.75" customHeight="1">
      <c r="A44" s="1271"/>
      <c r="B44" s="224" t="s">
        <v>984</v>
      </c>
      <c r="C44" s="19">
        <v>7130870045</v>
      </c>
      <c r="D44" s="3" t="s">
        <v>1070</v>
      </c>
      <c r="E44" s="19">
        <v>49</v>
      </c>
      <c r="F44" s="4">
        <f>VLOOKUP(C44,'SOR RATE'!A:D,4,0)/1000</f>
        <v>55.094</v>
      </c>
      <c r="G44" s="4">
        <f>F44*E44</f>
        <v>2699.606</v>
      </c>
      <c r="H44" s="19">
        <v>49</v>
      </c>
      <c r="I44" s="936">
        <f>VLOOKUP(C44,'SOR RATE'!A:D,4,0)/1000</f>
        <v>55.094</v>
      </c>
      <c r="J44" s="4">
        <f aca="true" t="shared" si="5" ref="J44:J52">I44*H44</f>
        <v>2699.606</v>
      </c>
      <c r="K44" s="225">
        <v>49</v>
      </c>
      <c r="L44" s="4">
        <f>VLOOKUP(C44,'SOR RATE'!A:D,4,0)/1000</f>
        <v>55.094</v>
      </c>
      <c r="M44" s="4">
        <f t="shared" si="0"/>
        <v>2699.606</v>
      </c>
    </row>
    <row r="45" spans="1:13" ht="17.25" customHeight="1">
      <c r="A45" s="1271"/>
      <c r="B45" s="224" t="s">
        <v>985</v>
      </c>
      <c r="C45" s="19">
        <v>7130870043</v>
      </c>
      <c r="D45" s="3" t="s">
        <v>1070</v>
      </c>
      <c r="E45" s="19">
        <v>20</v>
      </c>
      <c r="F45" s="4">
        <f>VLOOKUP(C45,'SOR RATE'!A:D,4,0)/1000</f>
        <v>55.094</v>
      </c>
      <c r="G45" s="4">
        <f aca="true" t="shared" si="6" ref="G45:G52">F45*E45</f>
        <v>1101.88</v>
      </c>
      <c r="H45" s="19">
        <v>20</v>
      </c>
      <c r="I45" s="936">
        <f>VLOOKUP(C45,'SOR RATE'!A:D,4,0)/1000</f>
        <v>55.094</v>
      </c>
      <c r="J45" s="4">
        <f t="shared" si="5"/>
        <v>1101.88</v>
      </c>
      <c r="K45" s="225">
        <v>20</v>
      </c>
      <c r="L45" s="4">
        <f>VLOOKUP(C45,'SOR RATE'!A:D,4,0)/1000</f>
        <v>55.094</v>
      </c>
      <c r="M45" s="4">
        <f t="shared" si="0"/>
        <v>1101.88</v>
      </c>
    </row>
    <row r="46" spans="1:13" ht="17.25" customHeight="1">
      <c r="A46" s="1271"/>
      <c r="B46" s="224" t="s">
        <v>1927</v>
      </c>
      <c r="C46" s="19">
        <v>7130897759</v>
      </c>
      <c r="D46" s="3" t="s">
        <v>1061</v>
      </c>
      <c r="E46" s="19">
        <v>1</v>
      </c>
      <c r="F46" s="4">
        <f>VLOOKUP(C46,'SOR RATE'!A:D,4,0)</f>
        <v>3315</v>
      </c>
      <c r="G46" s="4">
        <f t="shared" si="6"/>
        <v>3315</v>
      </c>
      <c r="H46" s="19">
        <v>1</v>
      </c>
      <c r="I46" s="936">
        <f>VLOOKUP(C46,'SOR RATE'!A:D,4,0)</f>
        <v>3315</v>
      </c>
      <c r="J46" s="4">
        <f t="shared" si="5"/>
        <v>3315</v>
      </c>
      <c r="K46" s="225">
        <v>1</v>
      </c>
      <c r="L46" s="4">
        <f>VLOOKUP(C46,'SOR RATE'!A:D,4,0)</f>
        <v>3315</v>
      </c>
      <c r="M46" s="4">
        <f>K46*L46</f>
        <v>3315</v>
      </c>
    </row>
    <row r="47" spans="1:15" ht="18.75" customHeight="1">
      <c r="A47" s="1271"/>
      <c r="B47" s="224" t="s">
        <v>508</v>
      </c>
      <c r="C47" s="19">
        <v>7130810692</v>
      </c>
      <c r="D47" s="3" t="s">
        <v>1061</v>
      </c>
      <c r="E47" s="19">
        <v>3</v>
      </c>
      <c r="F47" s="4">
        <f>VLOOKUP(C47,'SOR RATE'!A:D,4,0)</f>
        <v>294</v>
      </c>
      <c r="G47" s="4">
        <f t="shared" si="6"/>
        <v>882</v>
      </c>
      <c r="H47" s="19">
        <v>3</v>
      </c>
      <c r="I47" s="936">
        <f>VLOOKUP(C47,'SOR RATE'!A:D,4,0)</f>
        <v>294</v>
      </c>
      <c r="J47" s="4">
        <f t="shared" si="5"/>
        <v>882</v>
      </c>
      <c r="K47" s="225">
        <v>3</v>
      </c>
      <c r="L47" s="4">
        <f>VLOOKUP(C47,'SOR RATE'!A:D,4,0)</f>
        <v>294</v>
      </c>
      <c r="M47" s="4">
        <f t="shared" si="0"/>
        <v>882</v>
      </c>
      <c r="O47" s="120"/>
    </row>
    <row r="48" spans="1:13" ht="19.5" customHeight="1">
      <c r="A48" s="1271"/>
      <c r="B48" s="224" t="s">
        <v>509</v>
      </c>
      <c r="C48" s="19">
        <v>7130620625</v>
      </c>
      <c r="D48" s="3" t="s">
        <v>1330</v>
      </c>
      <c r="E48" s="941">
        <v>1.2</v>
      </c>
      <c r="F48" s="4">
        <f>VLOOKUP(C48,'SOR RATE'!A:D,4,0)</f>
        <v>62</v>
      </c>
      <c r="G48" s="4">
        <f t="shared" si="6"/>
        <v>74.39999999999999</v>
      </c>
      <c r="H48" s="941">
        <v>1.2</v>
      </c>
      <c r="I48" s="936">
        <f>VLOOKUP(C48,'SOR RATE'!A:D,4,0)</f>
        <v>62</v>
      </c>
      <c r="J48" s="4">
        <f t="shared" si="5"/>
        <v>74.39999999999999</v>
      </c>
      <c r="K48" s="941">
        <v>1.2</v>
      </c>
      <c r="L48" s="4">
        <f>VLOOKUP(C48,'SOR RATE'!A:D,4,0)</f>
        <v>62</v>
      </c>
      <c r="M48" s="4">
        <f t="shared" si="0"/>
        <v>74.39999999999999</v>
      </c>
    </row>
    <row r="49" spans="1:13" ht="18" customHeight="1">
      <c r="A49" s="1271"/>
      <c r="B49" s="224" t="s">
        <v>983</v>
      </c>
      <c r="C49" s="19">
        <v>7130620013</v>
      </c>
      <c r="D49" s="3" t="s">
        <v>1061</v>
      </c>
      <c r="E49" s="19">
        <v>4</v>
      </c>
      <c r="F49" s="4">
        <f>VLOOKUP(C49,'SOR RATE'!A:D,4,0)</f>
        <v>118</v>
      </c>
      <c r="G49" s="4">
        <f t="shared" si="6"/>
        <v>472</v>
      </c>
      <c r="H49" s="19">
        <v>4</v>
      </c>
      <c r="I49" s="936">
        <f>VLOOKUP(C49,'SOR RATE'!A:D,4,0)</f>
        <v>118</v>
      </c>
      <c r="J49" s="4">
        <f t="shared" si="5"/>
        <v>472</v>
      </c>
      <c r="K49" s="225">
        <v>4</v>
      </c>
      <c r="L49" s="4">
        <f>VLOOKUP(C49,'SOR RATE'!A:D,4,0)</f>
        <v>118</v>
      </c>
      <c r="M49" s="4">
        <f t="shared" si="0"/>
        <v>472</v>
      </c>
    </row>
    <row r="50" spans="1:13" ht="18" customHeight="1">
      <c r="A50" s="1271"/>
      <c r="B50" s="224" t="s">
        <v>500</v>
      </c>
      <c r="C50" s="19">
        <v>7130860033</v>
      </c>
      <c r="D50" s="3" t="s">
        <v>1061</v>
      </c>
      <c r="E50" s="19">
        <v>2</v>
      </c>
      <c r="F50" s="4">
        <f>VLOOKUP(C50,'SOR RATE'!A:D,4,0)</f>
        <v>705</v>
      </c>
      <c r="G50" s="4">
        <f t="shared" si="6"/>
        <v>1410</v>
      </c>
      <c r="H50" s="19">
        <v>2</v>
      </c>
      <c r="I50" s="936">
        <f>VLOOKUP(C50,'SOR RATE'!A:D,4,0)</f>
        <v>705</v>
      </c>
      <c r="J50" s="4">
        <f t="shared" si="5"/>
        <v>1410</v>
      </c>
      <c r="K50" s="225">
        <v>2</v>
      </c>
      <c r="L50" s="4">
        <f>VLOOKUP(C50,'SOR RATE'!A:D,4,0)</f>
        <v>705</v>
      </c>
      <c r="M50" s="4">
        <f t="shared" si="0"/>
        <v>1410</v>
      </c>
    </row>
    <row r="51" spans="1:13" ht="21" customHeight="1">
      <c r="A51" s="1271"/>
      <c r="B51" s="224" t="s">
        <v>510</v>
      </c>
      <c r="C51" s="19">
        <v>7130860076</v>
      </c>
      <c r="D51" s="3" t="s">
        <v>1070</v>
      </c>
      <c r="E51" s="19">
        <v>17</v>
      </c>
      <c r="F51" s="4">
        <f>VLOOKUP(C51,'SOR RATE'!A:D,4,0)/1000</f>
        <v>61.002</v>
      </c>
      <c r="G51" s="4">
        <f t="shared" si="6"/>
        <v>1037.034</v>
      </c>
      <c r="H51" s="19">
        <v>17</v>
      </c>
      <c r="I51" s="936">
        <f>VLOOKUP(C51,'SOR RATE'!A:D,4,0)/1000</f>
        <v>61.002</v>
      </c>
      <c r="J51" s="4">
        <f t="shared" si="5"/>
        <v>1037.034</v>
      </c>
      <c r="K51" s="225">
        <v>17</v>
      </c>
      <c r="L51" s="4">
        <f>VLOOKUP(C51,'SOR RATE'!A:D,4,0)/1000</f>
        <v>61.002</v>
      </c>
      <c r="M51" s="4">
        <f t="shared" si="0"/>
        <v>1037.034</v>
      </c>
    </row>
    <row r="52" spans="1:13" ht="18.75" customHeight="1">
      <c r="A52" s="1272"/>
      <c r="B52" s="224" t="s">
        <v>1953</v>
      </c>
      <c r="C52" s="19">
        <v>7130620619</v>
      </c>
      <c r="D52" s="3" t="s">
        <v>1070</v>
      </c>
      <c r="E52" s="19">
        <v>1.5</v>
      </c>
      <c r="F52" s="4">
        <f>VLOOKUP(C52,'SOR RATE'!A:D,4,0)</f>
        <v>63</v>
      </c>
      <c r="G52" s="4">
        <f t="shared" si="6"/>
        <v>94.5</v>
      </c>
      <c r="H52" s="19">
        <v>1.5</v>
      </c>
      <c r="I52" s="936">
        <f>VLOOKUP(C52,'SOR RATE'!A:D,4,0)</f>
        <v>63</v>
      </c>
      <c r="J52" s="4">
        <f t="shared" si="5"/>
        <v>94.5</v>
      </c>
      <c r="K52" s="941">
        <v>1.5</v>
      </c>
      <c r="L52" s="4">
        <f>VLOOKUP(C52,'SOR RATE'!A:D,4,0)</f>
        <v>63</v>
      </c>
      <c r="M52" s="4">
        <f t="shared" si="0"/>
        <v>94.5</v>
      </c>
    </row>
    <row r="53" spans="1:16" s="122" customFormat="1" ht="15.75">
      <c r="A53" s="116">
        <v>22</v>
      </c>
      <c r="B53" s="946" t="s">
        <v>771</v>
      </c>
      <c r="C53" s="116"/>
      <c r="D53" s="116"/>
      <c r="E53" s="919"/>
      <c r="F53" s="6"/>
      <c r="G53" s="6">
        <f>SUM(G10:G52)</f>
        <v>249545.29500000004</v>
      </c>
      <c r="H53" s="947"/>
      <c r="I53" s="919"/>
      <c r="J53" s="6">
        <f>SUM(J10:J52)</f>
        <v>444990.938</v>
      </c>
      <c r="K53" s="6"/>
      <c r="L53" s="6"/>
      <c r="M53" s="6">
        <f>SUM(M10:M52)</f>
        <v>276007.4910000001</v>
      </c>
      <c r="N53" s="196"/>
      <c r="O53" s="204"/>
      <c r="P53" s="121"/>
    </row>
    <row r="54" spans="1:15" ht="19.5" customHeight="1">
      <c r="A54" s="19">
        <v>23</v>
      </c>
      <c r="B54" s="224" t="s">
        <v>770</v>
      </c>
      <c r="C54" s="937"/>
      <c r="D54" s="940"/>
      <c r="E54" s="940"/>
      <c r="F54" s="19">
        <v>0.09</v>
      </c>
      <c r="G54" s="4">
        <f>G53*F54</f>
        <v>22459.07655</v>
      </c>
      <c r="H54" s="938"/>
      <c r="I54" s="19">
        <v>0.09</v>
      </c>
      <c r="J54" s="4">
        <f>J53*I54</f>
        <v>40049.18442</v>
      </c>
      <c r="K54" s="4"/>
      <c r="L54" s="4">
        <v>0.09</v>
      </c>
      <c r="M54" s="4">
        <f>M53*L54</f>
        <v>24840.67419000001</v>
      </c>
      <c r="N54" s="196"/>
      <c r="O54" s="204"/>
    </row>
    <row r="55" spans="1:13" ht="35.25" customHeight="1">
      <c r="A55" s="19">
        <v>24</v>
      </c>
      <c r="B55" s="224" t="s">
        <v>1334</v>
      </c>
      <c r="C55" s="19"/>
      <c r="D55" s="3" t="s">
        <v>1065</v>
      </c>
      <c r="E55" s="941">
        <v>1.3</v>
      </c>
      <c r="F55" s="4">
        <f>1664*1.27*1.0891*1.086275*1.1112*1.0685</f>
        <v>2968.460981603261</v>
      </c>
      <c r="G55" s="4">
        <f>F55*E55</f>
        <v>3858.9992760842397</v>
      </c>
      <c r="H55" s="941">
        <v>8</v>
      </c>
      <c r="I55" s="4">
        <f>+F55</f>
        <v>2968.460981603261</v>
      </c>
      <c r="J55" s="4">
        <f>I55*H55</f>
        <v>23747.68785282609</v>
      </c>
      <c r="K55" s="941">
        <v>8</v>
      </c>
      <c r="L55" s="4">
        <f>+F55</f>
        <v>2968.460981603261</v>
      </c>
      <c r="M55" s="4">
        <f>K55*L55</f>
        <v>23747.68785282609</v>
      </c>
    </row>
    <row r="56" spans="1:15" s="62" customFormat="1" ht="30.75" customHeight="1">
      <c r="A56" s="19">
        <v>25</v>
      </c>
      <c r="B56" s="224" t="s">
        <v>1073</v>
      </c>
      <c r="C56" s="116"/>
      <c r="D56" s="948"/>
      <c r="E56" s="6"/>
      <c r="F56" s="6"/>
      <c r="G56" s="4">
        <v>31335.2</v>
      </c>
      <c r="H56" s="4"/>
      <c r="I56" s="4"/>
      <c r="J56" s="4">
        <v>36663.05</v>
      </c>
      <c r="K56" s="4"/>
      <c r="L56" s="4"/>
      <c r="M56" s="4">
        <v>33975.3</v>
      </c>
      <c r="N56" s="118"/>
      <c r="O56" s="53"/>
    </row>
    <row r="57" spans="1:13" ht="64.5" customHeight="1">
      <c r="A57" s="19">
        <v>26</v>
      </c>
      <c r="B57" s="224" t="s">
        <v>1074</v>
      </c>
      <c r="C57" s="19"/>
      <c r="D57" s="3"/>
      <c r="E57" s="4"/>
      <c r="F57" s="4"/>
      <c r="G57" s="4">
        <f>1.1*1.1*5819*1.2*1.1*1.1797*1.1402*0.9368</f>
        <v>11711.355300779169</v>
      </c>
      <c r="H57" s="4"/>
      <c r="I57" s="4"/>
      <c r="J57" s="4">
        <f>1.1*1.1*5819*1.2*1.1*1.1797*1.1402*0.9368</f>
        <v>11711.355300779169</v>
      </c>
      <c r="K57" s="4"/>
      <c r="L57" s="4"/>
      <c r="M57" s="4">
        <f>1.1*1.1*5819*1.2*1.1*1.1797*1.1402*0.9368</f>
        <v>11711.355300779169</v>
      </c>
    </row>
    <row r="58" spans="1:15" ht="17.25" customHeight="1">
      <c r="A58" s="116">
        <v>27</v>
      </c>
      <c r="B58" s="946" t="s">
        <v>772</v>
      </c>
      <c r="C58" s="19"/>
      <c r="D58" s="3"/>
      <c r="E58" s="4"/>
      <c r="F58" s="4"/>
      <c r="G58" s="6">
        <f>G53+G54+G55+G56+G57</f>
        <v>318909.92612686346</v>
      </c>
      <c r="H58" s="6"/>
      <c r="I58" s="6"/>
      <c r="J58" s="6">
        <f>J53+J54+J55+J56+J57</f>
        <v>557162.2155736054</v>
      </c>
      <c r="K58" s="6"/>
      <c r="L58" s="6"/>
      <c r="M58" s="6">
        <f>M53+M54+M55+M56+M57</f>
        <v>370282.5083436053</v>
      </c>
      <c r="N58" s="218"/>
      <c r="O58" s="218"/>
    </row>
    <row r="59" spans="1:15" ht="51" customHeight="1">
      <c r="A59" s="19">
        <v>28</v>
      </c>
      <c r="B59" s="224" t="s">
        <v>773</v>
      </c>
      <c r="C59" s="19"/>
      <c r="D59" s="3"/>
      <c r="E59" s="4"/>
      <c r="F59" s="4">
        <v>0.11</v>
      </c>
      <c r="G59" s="4">
        <f>G53*F59</f>
        <v>27449.982450000003</v>
      </c>
      <c r="H59" s="4"/>
      <c r="I59" s="4">
        <v>0.11</v>
      </c>
      <c r="J59" s="4">
        <f>J53*I59</f>
        <v>48949.00318</v>
      </c>
      <c r="K59" s="4"/>
      <c r="L59" s="4">
        <v>0.11</v>
      </c>
      <c r="M59" s="4">
        <f>M53*L59</f>
        <v>30360.82401000001</v>
      </c>
      <c r="N59" s="218"/>
      <c r="O59" s="218"/>
    </row>
    <row r="60" spans="1:13" ht="30.75" customHeight="1">
      <c r="A60" s="19">
        <v>29</v>
      </c>
      <c r="B60" s="224" t="s">
        <v>501</v>
      </c>
      <c r="C60" s="19"/>
      <c r="D60" s="3"/>
      <c r="E60" s="4"/>
      <c r="F60" s="4"/>
      <c r="G60" s="4">
        <f>G58+G59</f>
        <v>346359.90857686347</v>
      </c>
      <c r="H60" s="4"/>
      <c r="I60" s="4"/>
      <c r="J60" s="4">
        <f>J58+J59</f>
        <v>606111.2187536054</v>
      </c>
      <c r="K60" s="4"/>
      <c r="L60" s="4"/>
      <c r="M60" s="4">
        <f>M58+M59</f>
        <v>400643.3323536053</v>
      </c>
    </row>
    <row r="61" spans="1:13" s="62" customFormat="1" ht="35.25" customHeight="1">
      <c r="A61" s="116">
        <v>30</v>
      </c>
      <c r="B61" s="949" t="s">
        <v>502</v>
      </c>
      <c r="C61" s="116"/>
      <c r="D61" s="917"/>
      <c r="E61" s="6"/>
      <c r="F61" s="6"/>
      <c r="G61" s="6">
        <f>ROUND(G60,0)</f>
        <v>346360</v>
      </c>
      <c r="H61" s="6"/>
      <c r="I61" s="6"/>
      <c r="J61" s="6">
        <f>ROUND(J60,0)</f>
        <v>606111</v>
      </c>
      <c r="K61" s="6"/>
      <c r="L61" s="6"/>
      <c r="M61" s="6">
        <f>ROUND(M60,0)</f>
        <v>400643</v>
      </c>
    </row>
    <row r="62" spans="1:13" ht="20.25" customHeight="1">
      <c r="A62" s="1268" t="s">
        <v>813</v>
      </c>
      <c r="B62" s="1269"/>
      <c r="C62" s="19"/>
      <c r="D62" s="3"/>
      <c r="E62" s="4"/>
      <c r="F62" s="4"/>
      <c r="G62" s="4"/>
      <c r="H62" s="4"/>
      <c r="I62" s="4"/>
      <c r="J62" s="4"/>
      <c r="K62" s="53"/>
      <c r="L62" s="53"/>
      <c r="M62" s="53"/>
    </row>
    <row r="63" spans="1:13" ht="18.75" customHeight="1">
      <c r="A63" s="3">
        <v>1</v>
      </c>
      <c r="B63" s="1265" t="s">
        <v>434</v>
      </c>
      <c r="C63" s="1265"/>
      <c r="D63" s="1265"/>
      <c r="E63" s="1265"/>
      <c r="F63" s="1265"/>
      <c r="G63" s="1265"/>
      <c r="H63" s="1265"/>
      <c r="I63" s="1265"/>
      <c r="J63" s="1265"/>
      <c r="K63" s="893"/>
      <c r="L63" s="893"/>
      <c r="M63" s="893"/>
    </row>
    <row r="64" spans="1:13" ht="16.5" customHeight="1">
      <c r="A64" s="3">
        <v>2</v>
      </c>
      <c r="B64" s="1265" t="s">
        <v>1076</v>
      </c>
      <c r="C64" s="1265"/>
      <c r="D64" s="1265"/>
      <c r="E64" s="1265"/>
      <c r="F64" s="1265"/>
      <c r="G64" s="1265"/>
      <c r="H64" s="1265"/>
      <c r="I64" s="1265"/>
      <c r="J64" s="1265"/>
      <c r="K64" s="893"/>
      <c r="L64" s="893"/>
      <c r="M64" s="893"/>
    </row>
    <row r="65" spans="1:13" ht="27.75" customHeight="1">
      <c r="A65" s="174"/>
      <c r="B65" s="86"/>
      <c r="C65" s="86"/>
      <c r="D65" s="86"/>
      <c r="E65" s="86"/>
      <c r="F65" s="86"/>
      <c r="G65" s="1"/>
      <c r="H65" s="86"/>
      <c r="I65" s="86"/>
      <c r="J65" s="86"/>
      <c r="K65" s="86"/>
      <c r="L65" s="86"/>
      <c r="M65" s="86"/>
    </row>
    <row r="66" ht="17.25" customHeight="1">
      <c r="H66" s="192"/>
    </row>
    <row r="81" spans="2:3" ht="18">
      <c r="B81" s="1264" t="s">
        <v>1146</v>
      </c>
      <c r="C81" s="1264"/>
    </row>
    <row r="82" spans="1:3" ht="15">
      <c r="A82" s="11" t="s">
        <v>1116</v>
      </c>
      <c r="B82" s="224" t="s">
        <v>986</v>
      </c>
      <c r="C82" s="19">
        <v>7130820158</v>
      </c>
    </row>
  </sheetData>
  <sheetProtection/>
  <mergeCells count="19">
    <mergeCell ref="B81:C81"/>
    <mergeCell ref="B64:J64"/>
    <mergeCell ref="B63:J63"/>
    <mergeCell ref="B7:B8"/>
    <mergeCell ref="D7:D8"/>
    <mergeCell ref="C7:C8"/>
    <mergeCell ref="A62:B62"/>
    <mergeCell ref="A38:A42"/>
    <mergeCell ref="A43:A52"/>
    <mergeCell ref="A25:A30"/>
    <mergeCell ref="K5:M5"/>
    <mergeCell ref="K7:M7"/>
    <mergeCell ref="H7:J7"/>
    <mergeCell ref="C1:G1"/>
    <mergeCell ref="A4:J4"/>
    <mergeCell ref="A15:A19"/>
    <mergeCell ref="E7:G7"/>
    <mergeCell ref="B3:J3"/>
    <mergeCell ref="A7:A8"/>
  </mergeCells>
  <printOptions gridLines="1" horizontalCentered="1"/>
  <pageMargins left="0.38" right="0" top="0.68" bottom="0.38" header="0.51" footer="0"/>
  <pageSetup fitToHeight="3" horizontalDpi="600" verticalDpi="600" orientation="landscape" paperSize="9" scale="80" r:id="rId1"/>
  <rowBreaks count="2" manualBreakCount="2">
    <brk id="26" max="14" man="1"/>
    <brk id="51" max="255" man="1"/>
  </rowBreaks>
  <ignoredErrors>
    <ignoredError sqref="I35 F35 F51 I51" formula="1"/>
  </ignoredErrors>
</worksheet>
</file>

<file path=xl/worksheets/sheet4.xml><?xml version="1.0" encoding="utf-8"?>
<worksheet xmlns="http://schemas.openxmlformats.org/spreadsheetml/2006/main" xmlns:r="http://schemas.openxmlformats.org/officeDocument/2006/relationships">
  <sheetPr>
    <tabColor indexed="11"/>
  </sheetPr>
  <dimension ref="A1:M80"/>
  <sheetViews>
    <sheetView zoomScale="85" zoomScaleNormal="85"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5.00390625" style="2" bestFit="1" customWidth="1"/>
    <col min="2" max="2" width="51.28125" style="2" customWidth="1"/>
    <col min="3" max="3" width="19.421875" style="2" customWidth="1"/>
    <col min="4" max="4" width="8.140625" style="2" customWidth="1"/>
    <col min="5" max="5" width="11.28125" style="2" bestFit="1" customWidth="1"/>
    <col min="6" max="6" width="8.57421875" style="2" bestFit="1" customWidth="1"/>
    <col min="7" max="7" width="14.57421875" style="2" customWidth="1"/>
    <col min="8" max="8" width="15.57421875" style="2" customWidth="1"/>
    <col min="9" max="9" width="26.421875" style="2" customWidth="1"/>
    <col min="10" max="11" width="9.140625" style="2" customWidth="1"/>
    <col min="12" max="12" width="13.57421875" style="2" customWidth="1"/>
    <col min="13" max="16384" width="9.140625" style="2" customWidth="1"/>
  </cols>
  <sheetData>
    <row r="1" spans="2:7" ht="18">
      <c r="B1" s="1279" t="s">
        <v>1165</v>
      </c>
      <c r="C1" s="1279"/>
      <c r="D1" s="1279"/>
      <c r="E1" s="1279"/>
      <c r="F1" s="80"/>
      <c r="G1" s="80"/>
    </row>
    <row r="2" spans="3:7" ht="14.25" customHeight="1">
      <c r="C2" s="81"/>
      <c r="D2" s="81"/>
      <c r="E2" s="81"/>
      <c r="F2" s="81"/>
      <c r="G2" s="81"/>
    </row>
    <row r="3" spans="2:8" ht="22.5" customHeight="1">
      <c r="B3" s="1282" t="s">
        <v>1494</v>
      </c>
      <c r="C3" s="1282"/>
      <c r="D3" s="1282"/>
      <c r="E3" s="1282"/>
      <c r="F3" s="1282"/>
      <c r="G3" s="1282"/>
      <c r="H3" s="219" t="s">
        <v>1153</v>
      </c>
    </row>
    <row r="4" spans="1:7" ht="15.75">
      <c r="A4" s="123"/>
      <c r="B4" s="123"/>
      <c r="C4" s="123"/>
      <c r="D4" s="123"/>
      <c r="E4" s="123"/>
      <c r="F4" s="123"/>
      <c r="G4" s="123"/>
    </row>
    <row r="5" spans="1:8" ht="52.5" customHeight="1">
      <c r="A5" s="1280" t="s">
        <v>1947</v>
      </c>
      <c r="B5" s="1263" t="s">
        <v>1057</v>
      </c>
      <c r="C5" s="1266" t="s">
        <v>1331</v>
      </c>
      <c r="D5" s="1263" t="s">
        <v>1058</v>
      </c>
      <c r="E5" s="1283" t="s">
        <v>1018</v>
      </c>
      <c r="F5" s="1284" t="s">
        <v>1329</v>
      </c>
      <c r="G5" s="896" t="s">
        <v>1126</v>
      </c>
      <c r="H5" s="896" t="s">
        <v>1496</v>
      </c>
    </row>
    <row r="6" spans="1:8" ht="18.75" customHeight="1">
      <c r="A6" s="1281"/>
      <c r="B6" s="1263"/>
      <c r="C6" s="1267"/>
      <c r="D6" s="1263"/>
      <c r="E6" s="1283"/>
      <c r="F6" s="1284"/>
      <c r="G6" s="124" t="s">
        <v>1434</v>
      </c>
      <c r="H6" s="124" t="s">
        <v>1434</v>
      </c>
    </row>
    <row r="7" spans="1:8" ht="15.75">
      <c r="A7" s="898" t="s">
        <v>1116</v>
      </c>
      <c r="B7" s="898" t="s">
        <v>1117</v>
      </c>
      <c r="C7" s="898" t="s">
        <v>1118</v>
      </c>
      <c r="D7" s="898">
        <v>4</v>
      </c>
      <c r="E7" s="898">
        <v>5</v>
      </c>
      <c r="F7" s="898" t="s">
        <v>1119</v>
      </c>
      <c r="G7" s="898">
        <v>7</v>
      </c>
      <c r="H7" s="898">
        <v>8</v>
      </c>
    </row>
    <row r="8" spans="1:8" ht="21.75" customHeight="1">
      <c r="A8" s="933">
        <v>1</v>
      </c>
      <c r="B8" s="950" t="s">
        <v>1127</v>
      </c>
      <c r="C8" s="19">
        <v>7130800033</v>
      </c>
      <c r="D8" s="951" t="s">
        <v>1061</v>
      </c>
      <c r="E8" s="4">
        <f>VLOOKUP(C8,'SOR RATE'!A:D,4,0)</f>
        <v>3129</v>
      </c>
      <c r="F8" s="951">
        <v>4</v>
      </c>
      <c r="G8" s="954">
        <f>E8*F8</f>
        <v>12516</v>
      </c>
      <c r="H8" s="953"/>
    </row>
    <row r="9" spans="1:12" ht="37.5" customHeight="1">
      <c r="A9" s="933">
        <v>2</v>
      </c>
      <c r="B9" s="950" t="s">
        <v>1495</v>
      </c>
      <c r="C9" s="19">
        <v>7130601958</v>
      </c>
      <c r="D9" s="951" t="s">
        <v>1070</v>
      </c>
      <c r="E9" s="4">
        <f>VLOOKUP(C9,'SOR RATE'!A:D,4,0)/1000</f>
        <v>44.989</v>
      </c>
      <c r="F9" s="941">
        <v>1929.2</v>
      </c>
      <c r="G9" s="952"/>
      <c r="H9" s="4">
        <f>E9*F9</f>
        <v>86792.7788</v>
      </c>
      <c r="I9" s="98"/>
      <c r="J9" s="98"/>
      <c r="K9" s="98"/>
      <c r="L9" s="98"/>
    </row>
    <row r="10" spans="1:12" ht="34.5" customHeight="1">
      <c r="A10" s="933">
        <v>3</v>
      </c>
      <c r="B10" s="224" t="s">
        <v>1154</v>
      </c>
      <c r="C10" s="19">
        <v>7130601072</v>
      </c>
      <c r="D10" s="951" t="s">
        <v>1070</v>
      </c>
      <c r="E10" s="4">
        <f>VLOOKUP(C10,'SOR RATE'!A:D,4,0)/1000</f>
        <v>47.741</v>
      </c>
      <c r="F10" s="225">
        <v>3120</v>
      </c>
      <c r="G10" s="952"/>
      <c r="H10" s="4"/>
      <c r="I10" s="98"/>
      <c r="J10" s="98"/>
      <c r="K10" s="98"/>
      <c r="L10" s="98"/>
    </row>
    <row r="11" spans="1:8" ht="34.5" customHeight="1">
      <c r="A11" s="933">
        <v>4</v>
      </c>
      <c r="B11" s="955" t="s">
        <v>1120</v>
      </c>
      <c r="C11" s="19">
        <v>7130810608</v>
      </c>
      <c r="D11" s="933" t="s">
        <v>1022</v>
      </c>
      <c r="E11" s="4">
        <f>VLOOKUP(C11,'SOR RATE'!A:D,4,0)</f>
        <v>5377</v>
      </c>
      <c r="F11" s="933">
        <v>8</v>
      </c>
      <c r="G11" s="954">
        <f>F11*E11</f>
        <v>43016</v>
      </c>
      <c r="H11" s="4">
        <f>F11*E11</f>
        <v>43016</v>
      </c>
    </row>
    <row r="12" spans="1:8" ht="19.5" customHeight="1">
      <c r="A12" s="933">
        <v>5</v>
      </c>
      <c r="B12" s="922" t="s">
        <v>504</v>
      </c>
      <c r="C12" s="934">
        <v>7130820248</v>
      </c>
      <c r="D12" s="221" t="s">
        <v>1061</v>
      </c>
      <c r="E12" s="4">
        <f>VLOOKUP(C12,'SOR RATE'!A:D,4,0)</f>
        <v>255</v>
      </c>
      <c r="F12" s="933">
        <v>24</v>
      </c>
      <c r="G12" s="954">
        <f>F12*E12</f>
        <v>6120</v>
      </c>
      <c r="H12" s="4">
        <f>F12*E12</f>
        <v>6120</v>
      </c>
    </row>
    <row r="13" spans="1:10" ht="18.75" customHeight="1">
      <c r="A13" s="933">
        <v>6</v>
      </c>
      <c r="B13" s="922" t="s">
        <v>1155</v>
      </c>
      <c r="C13" s="19">
        <v>7130820011</v>
      </c>
      <c r="D13" s="221" t="s">
        <v>1061</v>
      </c>
      <c r="E13" s="4">
        <f>VLOOKUP(C13,'SOR RATE'!A:D,4,0)</f>
        <v>354</v>
      </c>
      <c r="F13" s="933">
        <v>72</v>
      </c>
      <c r="G13" s="954">
        <f>F13*E13</f>
        <v>25488</v>
      </c>
      <c r="H13" s="4">
        <f>F13*E13</f>
        <v>25488</v>
      </c>
      <c r="I13" s="1277" t="s">
        <v>1156</v>
      </c>
      <c r="J13" s="1277"/>
    </row>
    <row r="14" spans="1:8" ht="33" customHeight="1">
      <c r="A14" s="933">
        <v>7</v>
      </c>
      <c r="B14" s="224" t="s">
        <v>1328</v>
      </c>
      <c r="C14" s="19">
        <v>7130830063</v>
      </c>
      <c r="D14" s="3" t="s">
        <v>1322</v>
      </c>
      <c r="E14" s="4">
        <f>VLOOKUP(C14,'SOR RATE'!A:D,4,0)/1000</f>
        <v>64.842</v>
      </c>
      <c r="F14" s="933">
        <v>30</v>
      </c>
      <c r="G14" s="954">
        <f aca="true" t="shared" si="0" ref="G14:G31">F14*E14</f>
        <v>1945.26</v>
      </c>
      <c r="H14" s="4">
        <f>F14*E14</f>
        <v>1945.26</v>
      </c>
    </row>
    <row r="15" spans="1:10" ht="16.5" customHeight="1">
      <c r="A15" s="933">
        <v>8</v>
      </c>
      <c r="B15" s="224" t="s">
        <v>1147</v>
      </c>
      <c r="C15" s="19">
        <v>7130820009</v>
      </c>
      <c r="D15" s="933" t="s">
        <v>1023</v>
      </c>
      <c r="E15" s="4">
        <f>VLOOKUP(C15,'SOR RATE'!A:D,4,0)</f>
        <v>388</v>
      </c>
      <c r="F15" s="933">
        <v>8</v>
      </c>
      <c r="G15" s="954">
        <f t="shared" si="0"/>
        <v>3104</v>
      </c>
      <c r="H15" s="4">
        <f>F15*E15</f>
        <v>3104</v>
      </c>
      <c r="I15" s="1278" t="s">
        <v>1986</v>
      </c>
      <c r="J15" s="1278"/>
    </row>
    <row r="16" spans="1:9" ht="17.25" customHeight="1">
      <c r="A16" s="933">
        <v>9</v>
      </c>
      <c r="B16" s="956" t="s">
        <v>1128</v>
      </c>
      <c r="C16" s="951">
        <v>7130810006</v>
      </c>
      <c r="D16" s="933" t="s">
        <v>1022</v>
      </c>
      <c r="E16" s="4">
        <f>VLOOKUP(C16,'SOR RATE'!A:D,4,0)</f>
        <v>6808</v>
      </c>
      <c r="F16" s="933">
        <v>8</v>
      </c>
      <c r="G16" s="954">
        <f t="shared" si="0"/>
        <v>54464</v>
      </c>
      <c r="H16" s="4">
        <f aca="true" t="shared" si="1" ref="H16:H33">F16*E16</f>
        <v>54464</v>
      </c>
      <c r="I16" s="125"/>
    </row>
    <row r="17" spans="1:8" ht="18.75" customHeight="1">
      <c r="A17" s="1273">
        <v>10</v>
      </c>
      <c r="B17" s="224" t="s">
        <v>1954</v>
      </c>
      <c r="C17" s="19">
        <v>7130860033</v>
      </c>
      <c r="D17" s="3" t="s">
        <v>1061</v>
      </c>
      <c r="E17" s="4">
        <f>VLOOKUP(C17,'SOR RATE'!A:D,4,0)</f>
        <v>705</v>
      </c>
      <c r="F17" s="933">
        <v>8</v>
      </c>
      <c r="G17" s="954">
        <f t="shared" si="0"/>
        <v>5640</v>
      </c>
      <c r="H17" s="4">
        <f t="shared" si="1"/>
        <v>5640</v>
      </c>
    </row>
    <row r="18" spans="1:8" ht="18" customHeight="1">
      <c r="A18" s="1273"/>
      <c r="B18" s="224" t="s">
        <v>1955</v>
      </c>
      <c r="C18" s="19">
        <v>7130810193</v>
      </c>
      <c r="D18" s="3" t="s">
        <v>1061</v>
      </c>
      <c r="E18" s="4">
        <f>VLOOKUP(C18,'SOR RATE'!A:D,4,0)</f>
        <v>265</v>
      </c>
      <c r="F18" s="933">
        <v>8</v>
      </c>
      <c r="G18" s="954">
        <f t="shared" si="0"/>
        <v>2120</v>
      </c>
      <c r="H18" s="4"/>
    </row>
    <row r="19" spans="1:8" ht="19.5" customHeight="1">
      <c r="A19" s="1273"/>
      <c r="B19" s="224" t="s">
        <v>435</v>
      </c>
      <c r="C19" s="19">
        <v>7130810692</v>
      </c>
      <c r="D19" s="3" t="s">
        <v>1061</v>
      </c>
      <c r="E19" s="4">
        <f>VLOOKUP(C19,'SOR RATE'!A:D,4,0)</f>
        <v>294</v>
      </c>
      <c r="F19" s="933">
        <v>8</v>
      </c>
      <c r="G19" s="954"/>
      <c r="H19" s="4">
        <f t="shared" si="1"/>
        <v>2352</v>
      </c>
    </row>
    <row r="20" spans="1:8" ht="19.5" customHeight="1">
      <c r="A20" s="1273"/>
      <c r="B20" s="224" t="s">
        <v>1157</v>
      </c>
      <c r="C20" s="19">
        <v>7130810201</v>
      </c>
      <c r="D20" s="3" t="s">
        <v>1061</v>
      </c>
      <c r="E20" s="4">
        <f>VLOOKUP(C20,'SOR RATE'!A:D,4,0)</f>
        <v>282</v>
      </c>
      <c r="F20" s="933">
        <v>8</v>
      </c>
      <c r="G20" s="954"/>
      <c r="H20" s="4"/>
    </row>
    <row r="21" spans="1:8" ht="21.75" customHeight="1">
      <c r="A21" s="1273"/>
      <c r="B21" s="224" t="s">
        <v>433</v>
      </c>
      <c r="C21" s="19">
        <v>7130860076</v>
      </c>
      <c r="D21" s="3" t="s">
        <v>1070</v>
      </c>
      <c r="E21" s="4">
        <f>VLOOKUP(C21,'SOR RATE'!A:D,4,0)/1000</f>
        <v>61.002</v>
      </c>
      <c r="F21" s="933">
        <v>68</v>
      </c>
      <c r="G21" s="954">
        <f>F21*E21</f>
        <v>4148.136</v>
      </c>
      <c r="H21" s="4">
        <f>F21*E21</f>
        <v>4148.136</v>
      </c>
    </row>
    <row r="22" spans="1:8" ht="21.75" customHeight="1">
      <c r="A22" s="933">
        <v>11</v>
      </c>
      <c r="B22" s="224" t="s">
        <v>1129</v>
      </c>
      <c r="C22" s="19">
        <v>7131930321</v>
      </c>
      <c r="D22" s="957" t="s">
        <v>1130</v>
      </c>
      <c r="E22" s="4">
        <f>VLOOKUP(C22,'SOR RATE'!A:D,4,0)</f>
        <v>18624</v>
      </c>
      <c r="F22" s="933">
        <v>3</v>
      </c>
      <c r="G22" s="954">
        <f t="shared" si="0"/>
        <v>55872</v>
      </c>
      <c r="H22" s="4">
        <f t="shared" si="1"/>
        <v>55872</v>
      </c>
    </row>
    <row r="23" spans="1:8" ht="69" customHeight="1">
      <c r="A23" s="1274">
        <v>12</v>
      </c>
      <c r="B23" s="958" t="s">
        <v>1151</v>
      </c>
      <c r="C23" s="951" t="s">
        <v>1158</v>
      </c>
      <c r="D23" s="959" t="s">
        <v>1121</v>
      </c>
      <c r="E23" s="960"/>
      <c r="F23" s="960"/>
      <c r="G23" s="1183"/>
      <c r="H23" s="960"/>
    </row>
    <row r="24" spans="1:8" ht="17.25" customHeight="1">
      <c r="A24" s="1275"/>
      <c r="B24" s="224" t="s">
        <v>1160</v>
      </c>
      <c r="C24" s="19">
        <v>7130200401</v>
      </c>
      <c r="D24" s="3" t="s">
        <v>1070</v>
      </c>
      <c r="E24" s="4">
        <f>VLOOKUP(C24,'SOR RATE'!A:D,4,0)/50</f>
        <v>5.36</v>
      </c>
      <c r="F24" s="951">
        <f>2.2*208</f>
        <v>457.6</v>
      </c>
      <c r="G24" s="954">
        <f t="shared" si="0"/>
        <v>2452.7360000000003</v>
      </c>
      <c r="H24" s="4"/>
    </row>
    <row r="25" spans="1:8" ht="17.25" customHeight="1">
      <c r="A25" s="1275"/>
      <c r="B25" s="224" t="s">
        <v>1161</v>
      </c>
      <c r="C25" s="19">
        <v>7130200401</v>
      </c>
      <c r="D25" s="3" t="s">
        <v>1070</v>
      </c>
      <c r="E25" s="4">
        <f>VLOOKUP(C25,'SOR RATE'!A:D,4,0)/50</f>
        <v>5.36</v>
      </c>
      <c r="F25" s="951">
        <f>2.6*208</f>
        <v>540.8000000000001</v>
      </c>
      <c r="G25" s="954"/>
      <c r="H25" s="4">
        <f>E25*F25</f>
        <v>2898.6880000000006</v>
      </c>
    </row>
    <row r="26" spans="1:8" ht="17.25" customHeight="1">
      <c r="A26" s="1275"/>
      <c r="B26" s="224" t="s">
        <v>1159</v>
      </c>
      <c r="C26" s="19">
        <v>7130200401</v>
      </c>
      <c r="D26" s="3" t="s">
        <v>1070</v>
      </c>
      <c r="E26" s="4">
        <f>VLOOKUP(C26,'SOR RATE'!A:D,4,0)/50</f>
        <v>5.36</v>
      </c>
      <c r="F26" s="951">
        <f>2.6*208</f>
        <v>540.8000000000001</v>
      </c>
      <c r="G26" s="954"/>
      <c r="H26" s="4"/>
    </row>
    <row r="27" spans="1:8" ht="17.25" customHeight="1">
      <c r="A27" s="1276"/>
      <c r="B27" s="224" t="s">
        <v>1653</v>
      </c>
      <c r="C27" s="19">
        <v>7130200401</v>
      </c>
      <c r="D27" s="3" t="s">
        <v>1070</v>
      </c>
      <c r="E27" s="4">
        <f>VLOOKUP(C27,'SOR RATE'!A:D,4,0)/50</f>
        <v>5.36</v>
      </c>
      <c r="F27" s="951">
        <f>2.4*208</f>
        <v>499.2</v>
      </c>
      <c r="G27" s="954">
        <f>F27*E27</f>
        <v>2675.712</v>
      </c>
      <c r="H27" s="4">
        <f>F27*E27</f>
        <v>2675.712</v>
      </c>
    </row>
    <row r="28" spans="1:8" ht="17.25" customHeight="1">
      <c r="A28" s="933">
        <v>13</v>
      </c>
      <c r="B28" s="224" t="s">
        <v>1062</v>
      </c>
      <c r="C28" s="19">
        <v>7130870013</v>
      </c>
      <c r="D28" s="3" t="s">
        <v>1061</v>
      </c>
      <c r="E28" s="4">
        <f>VLOOKUP(C28,'SOR RATE'!A:D,4,0)</f>
        <v>100</v>
      </c>
      <c r="F28" s="951">
        <v>4</v>
      </c>
      <c r="G28" s="954">
        <f t="shared" si="0"/>
        <v>400</v>
      </c>
      <c r="H28" s="4">
        <f t="shared" si="1"/>
        <v>400</v>
      </c>
    </row>
    <row r="29" spans="1:8" ht="15">
      <c r="A29" s="933">
        <v>14</v>
      </c>
      <c r="B29" s="961" t="s">
        <v>1122</v>
      </c>
      <c r="C29" s="19">
        <v>7130211158</v>
      </c>
      <c r="D29" s="3" t="s">
        <v>1067</v>
      </c>
      <c r="E29" s="4">
        <f>VLOOKUP(C29,'SOR RATE'!A:D,4,0)</f>
        <v>130</v>
      </c>
      <c r="F29" s="933">
        <v>6</v>
      </c>
      <c r="G29" s="954"/>
      <c r="H29" s="4">
        <f t="shared" si="1"/>
        <v>780</v>
      </c>
    </row>
    <row r="30" spans="1:8" ht="15">
      <c r="A30" s="933">
        <v>15</v>
      </c>
      <c r="B30" s="961" t="s">
        <v>1123</v>
      </c>
      <c r="C30" s="19">
        <v>7130210809</v>
      </c>
      <c r="D30" s="3" t="s">
        <v>1067</v>
      </c>
      <c r="E30" s="4">
        <f>VLOOKUP(C30,'SOR RATE'!A:D,4,0)</f>
        <v>290</v>
      </c>
      <c r="F30" s="933">
        <v>6</v>
      </c>
      <c r="G30" s="954"/>
      <c r="H30" s="4">
        <f t="shared" si="1"/>
        <v>1740</v>
      </c>
    </row>
    <row r="31" spans="1:10" ht="21" customHeight="1">
      <c r="A31" s="933">
        <v>16</v>
      </c>
      <c r="B31" s="224" t="s">
        <v>430</v>
      </c>
      <c r="C31" s="19">
        <v>7130610206</v>
      </c>
      <c r="D31" s="3" t="s">
        <v>1070</v>
      </c>
      <c r="E31" s="4">
        <f>VLOOKUP(C31,'SOR RATE'!A:D,4,0)/1000</f>
        <v>66.528</v>
      </c>
      <c r="F31" s="933">
        <v>4</v>
      </c>
      <c r="G31" s="954">
        <f t="shared" si="0"/>
        <v>266.112</v>
      </c>
      <c r="H31" s="4">
        <f t="shared" si="1"/>
        <v>266.112</v>
      </c>
      <c r="I31" s="144"/>
      <c r="J31" s="144"/>
    </row>
    <row r="32" spans="1:8" ht="15">
      <c r="A32" s="933">
        <v>17</v>
      </c>
      <c r="B32" s="961" t="s">
        <v>1896</v>
      </c>
      <c r="C32" s="19">
        <v>7130880041</v>
      </c>
      <c r="D32" s="3" t="s">
        <v>1061</v>
      </c>
      <c r="E32" s="4">
        <f>VLOOKUP(C32,'SOR RATE'!A:D,4,0)</f>
        <v>74</v>
      </c>
      <c r="F32" s="933">
        <v>1</v>
      </c>
      <c r="G32" s="954">
        <f>F32*E32</f>
        <v>74</v>
      </c>
      <c r="H32" s="4">
        <f t="shared" si="1"/>
        <v>74</v>
      </c>
    </row>
    <row r="33" spans="1:8" ht="15">
      <c r="A33" s="933">
        <v>18</v>
      </c>
      <c r="B33" s="961" t="s">
        <v>748</v>
      </c>
      <c r="C33" s="19">
        <v>7130810624</v>
      </c>
      <c r="D33" s="3" t="s">
        <v>1061</v>
      </c>
      <c r="E33" s="4">
        <f>VLOOKUP(C33,'SOR RATE'!A:D,4,0)</f>
        <v>90</v>
      </c>
      <c r="F33" s="933">
        <v>48</v>
      </c>
      <c r="G33" s="954">
        <f>F33*E33</f>
        <v>4320</v>
      </c>
      <c r="H33" s="4">
        <f t="shared" si="1"/>
        <v>4320</v>
      </c>
    </row>
    <row r="34" spans="1:8" ht="15">
      <c r="A34" s="1274">
        <v>19</v>
      </c>
      <c r="B34" s="961" t="s">
        <v>1124</v>
      </c>
      <c r="C34" s="961"/>
      <c r="D34" s="933" t="s">
        <v>1020</v>
      </c>
      <c r="E34" s="4"/>
      <c r="F34" s="962"/>
      <c r="G34" s="962"/>
      <c r="H34" s="1184"/>
    </row>
    <row r="35" spans="1:8" ht="15">
      <c r="A35" s="1275"/>
      <c r="B35" s="224" t="s">
        <v>1033</v>
      </c>
      <c r="C35" s="19">
        <v>7130620609</v>
      </c>
      <c r="D35" s="3" t="s">
        <v>1070</v>
      </c>
      <c r="E35" s="4">
        <f>VLOOKUP(C35,'SOR RATE'!A:D,4,0)</f>
        <v>64</v>
      </c>
      <c r="F35" s="933">
        <v>2</v>
      </c>
      <c r="G35" s="954"/>
      <c r="H35" s="4">
        <f>E35*F35</f>
        <v>128</v>
      </c>
    </row>
    <row r="36" spans="1:8" ht="15">
      <c r="A36" s="1275"/>
      <c r="B36" s="224" t="s">
        <v>1949</v>
      </c>
      <c r="C36" s="19">
        <v>7130620614</v>
      </c>
      <c r="D36" s="3" t="s">
        <v>1070</v>
      </c>
      <c r="E36" s="4">
        <f>VLOOKUP(C36,'SOR RATE'!A:D,4,0)</f>
        <v>63</v>
      </c>
      <c r="F36" s="933">
        <v>2</v>
      </c>
      <c r="G36" s="954"/>
      <c r="H36" s="4">
        <f>E36*F36</f>
        <v>126</v>
      </c>
    </row>
    <row r="37" spans="1:8" ht="15">
      <c r="A37" s="1275"/>
      <c r="B37" s="224" t="s">
        <v>1950</v>
      </c>
      <c r="C37" s="19">
        <v>7130620619</v>
      </c>
      <c r="D37" s="3" t="s">
        <v>1070</v>
      </c>
      <c r="E37" s="4">
        <f>VLOOKUP(C37,'SOR RATE'!A:D,4,0)</f>
        <v>63</v>
      </c>
      <c r="F37" s="933">
        <v>10</v>
      </c>
      <c r="G37" s="954">
        <f>E37*2</f>
        <v>126</v>
      </c>
      <c r="H37" s="4">
        <f>E37*F37</f>
        <v>630</v>
      </c>
    </row>
    <row r="38" spans="1:8" ht="15">
      <c r="A38" s="1276"/>
      <c r="B38" s="224" t="s">
        <v>1965</v>
      </c>
      <c r="C38" s="19">
        <v>7130620631</v>
      </c>
      <c r="D38" s="3" t="s">
        <v>1070</v>
      </c>
      <c r="E38" s="4">
        <f>VLOOKUP(C38,'SOR RATE'!A:D,4,0)</f>
        <v>62</v>
      </c>
      <c r="F38" s="933">
        <v>15</v>
      </c>
      <c r="G38" s="954">
        <f>E38*F38</f>
        <v>930</v>
      </c>
      <c r="H38" s="4">
        <f>E38*F38</f>
        <v>930</v>
      </c>
    </row>
    <row r="39" spans="1:9" ht="21.75" customHeight="1">
      <c r="A39" s="963">
        <v>20</v>
      </c>
      <c r="B39" s="946" t="s">
        <v>771</v>
      </c>
      <c r="C39" s="964"/>
      <c r="D39" s="957"/>
      <c r="E39" s="957"/>
      <c r="F39" s="957"/>
      <c r="G39" s="919">
        <f>SUM(G8:G38)</f>
        <v>225677.956</v>
      </c>
      <c r="H39" s="6">
        <f>SUM(H8:H38)</f>
        <v>303910.6868000001</v>
      </c>
      <c r="I39" s="204"/>
    </row>
    <row r="40" spans="1:9" ht="21" customHeight="1">
      <c r="A40" s="933">
        <v>21</v>
      </c>
      <c r="B40" s="224" t="s">
        <v>770</v>
      </c>
      <c r="C40" s="965"/>
      <c r="D40" s="965"/>
      <c r="E40" s="933">
        <v>0.09</v>
      </c>
      <c r="F40" s="966"/>
      <c r="G40" s="968">
        <f>G39*E40</f>
        <v>20311.01604</v>
      </c>
      <c r="H40" s="967">
        <f>H39*E40</f>
        <v>27351.961812000005</v>
      </c>
      <c r="I40" s="204"/>
    </row>
    <row r="41" spans="1:8" ht="20.25" customHeight="1">
      <c r="A41" s="933">
        <v>22</v>
      </c>
      <c r="B41" s="224" t="s">
        <v>1334</v>
      </c>
      <c r="C41" s="961"/>
      <c r="D41" s="3" t="s">
        <v>1065</v>
      </c>
      <c r="E41" s="4">
        <f>1664*1.27*1.0891*1.086275*1.1112*1.0685</f>
        <v>2968.460981603261</v>
      </c>
      <c r="F41" s="933" t="s">
        <v>1163</v>
      </c>
      <c r="G41" s="954">
        <f>E41*4.6</f>
        <v>13654.920515375</v>
      </c>
      <c r="H41" s="4">
        <f>E41*5</f>
        <v>14842.304908016305</v>
      </c>
    </row>
    <row r="42" spans="1:8" ht="20.25" customHeight="1">
      <c r="A42" s="933">
        <v>23</v>
      </c>
      <c r="B42" s="224" t="s">
        <v>716</v>
      </c>
      <c r="C42" s="961"/>
      <c r="D42" s="3"/>
      <c r="E42" s="4"/>
      <c r="F42" s="933"/>
      <c r="G42" s="954">
        <v>16886.57</v>
      </c>
      <c r="H42" s="4">
        <v>16280.44</v>
      </c>
    </row>
    <row r="43" spans="1:13" ht="19.5" customHeight="1">
      <c r="A43" s="933">
        <v>24</v>
      </c>
      <c r="B43" s="955" t="s">
        <v>774</v>
      </c>
      <c r="C43" s="955"/>
      <c r="D43" s="957"/>
      <c r="E43" s="957"/>
      <c r="F43" s="957"/>
      <c r="G43" s="954">
        <f>10782.42*1.1402*0.9368</f>
        <v>11517.127198051201</v>
      </c>
      <c r="H43" s="4">
        <f>10782.42*1.1402*0.9368</f>
        <v>11517.127198051201</v>
      </c>
      <c r="I43" s="50"/>
      <c r="J43" s="50"/>
      <c r="K43" s="50"/>
      <c r="L43" s="50"/>
      <c r="M43" s="50"/>
    </row>
    <row r="44" spans="1:13" ht="19.5" customHeight="1">
      <c r="A44" s="963">
        <v>25</v>
      </c>
      <c r="B44" s="946" t="s">
        <v>772</v>
      </c>
      <c r="C44" s="955"/>
      <c r="D44" s="957"/>
      <c r="E44" s="957"/>
      <c r="F44" s="957"/>
      <c r="G44" s="919">
        <f>G39+G40+G41+G42+G43</f>
        <v>288047.5897534262</v>
      </c>
      <c r="H44" s="6">
        <f>H39+H40+H41+H42+H43</f>
        <v>373902.5207180676</v>
      </c>
      <c r="I44" s="205"/>
      <c r="J44" s="195"/>
      <c r="K44" s="195"/>
      <c r="L44" s="195"/>
      <c r="M44" s="195"/>
    </row>
    <row r="45" spans="1:13" ht="39" customHeight="1">
      <c r="A45" s="933">
        <v>26</v>
      </c>
      <c r="B45" s="224" t="s">
        <v>773</v>
      </c>
      <c r="C45" s="955"/>
      <c r="D45" s="957"/>
      <c r="E45" s="957">
        <v>0.11</v>
      </c>
      <c r="F45" s="957"/>
      <c r="G45" s="954">
        <f>G39*E45</f>
        <v>24824.57516</v>
      </c>
      <c r="H45" s="4">
        <f>H39*E45</f>
        <v>33430.17554800001</v>
      </c>
      <c r="I45" s="205"/>
      <c r="J45" s="195"/>
      <c r="K45" s="195"/>
      <c r="L45" s="195"/>
      <c r="M45" s="195"/>
    </row>
    <row r="46" spans="1:8" ht="21" customHeight="1">
      <c r="A46" s="933">
        <v>27</v>
      </c>
      <c r="B46" s="961" t="s">
        <v>1125</v>
      </c>
      <c r="C46" s="961"/>
      <c r="D46" s="957"/>
      <c r="E46" s="957"/>
      <c r="F46" s="957"/>
      <c r="G46" s="954">
        <f>G44+G45</f>
        <v>312872.1649134262</v>
      </c>
      <c r="H46" s="4">
        <f>H44+H45</f>
        <v>407332.6962660676</v>
      </c>
    </row>
    <row r="47" spans="1:8" ht="22.5" customHeight="1">
      <c r="A47" s="963">
        <v>28</v>
      </c>
      <c r="B47" s="964" t="s">
        <v>1167</v>
      </c>
      <c r="C47" s="969"/>
      <c r="D47" s="227"/>
      <c r="E47" s="227"/>
      <c r="F47" s="227"/>
      <c r="G47" s="971">
        <f>ROUND(G46,0)</f>
        <v>312872</v>
      </c>
      <c r="H47" s="970">
        <f>ROUND(H46,0)</f>
        <v>407333</v>
      </c>
    </row>
    <row r="79" spans="1:3" ht="18">
      <c r="A79" s="11"/>
      <c r="B79" s="1264" t="s">
        <v>1146</v>
      </c>
      <c r="C79" s="1264"/>
    </row>
    <row r="80" spans="1:3" ht="15">
      <c r="A80" s="11" t="s">
        <v>1116</v>
      </c>
      <c r="B80" s="224" t="s">
        <v>986</v>
      </c>
      <c r="C80" s="19">
        <v>7130820158</v>
      </c>
    </row>
  </sheetData>
  <sheetProtection/>
  <mergeCells count="14">
    <mergeCell ref="A34:A38"/>
    <mergeCell ref="B79:C79"/>
    <mergeCell ref="B3:G3"/>
    <mergeCell ref="E5:E6"/>
    <mergeCell ref="F5:F6"/>
    <mergeCell ref="C5:C6"/>
    <mergeCell ref="B5:B6"/>
    <mergeCell ref="D5:D6"/>
    <mergeCell ref="A17:A21"/>
    <mergeCell ref="A23:A27"/>
    <mergeCell ref="I13:J13"/>
    <mergeCell ref="I15:J15"/>
    <mergeCell ref="B1:E1"/>
    <mergeCell ref="A5:A6"/>
  </mergeCells>
  <printOptions/>
  <pageMargins left="0.87" right="0.14" top="0.61" bottom="0.33" header="0.5" footer="0.15"/>
  <pageSetup horizontalDpi="600" verticalDpi="600" orientation="landscape" paperSize="9" r:id="rId1"/>
  <ignoredErrors>
    <ignoredError sqref="F7 A7:C7" numberStoredAsText="1"/>
    <ignoredError sqref="E14" formula="1"/>
  </ignoredErrors>
</worksheet>
</file>

<file path=xl/worksheets/sheet5.xml><?xml version="1.0" encoding="utf-8"?>
<worksheet xmlns="http://schemas.openxmlformats.org/spreadsheetml/2006/main" xmlns:r="http://schemas.openxmlformats.org/officeDocument/2006/relationships">
  <sheetPr>
    <tabColor indexed="11"/>
  </sheetPr>
  <dimension ref="A1:R56"/>
  <sheetViews>
    <sheetView zoomScale="85" zoomScaleNormal="85" zoomScalePageLayoutView="0" workbookViewId="0" topLeftCell="A1">
      <pane xSplit="3" ySplit="7" topLeftCell="E8" activePane="bottomRight" state="frozen"/>
      <selection pane="topLeft" activeCell="A1" sqref="A1"/>
      <selection pane="topRight" activeCell="D1" sqref="D1"/>
      <selection pane="bottomLeft" activeCell="A8" sqref="A8"/>
      <selection pane="bottomRight" activeCell="A1" sqref="A1"/>
    </sheetView>
  </sheetViews>
  <sheetFormatPr defaultColWidth="9.140625" defaultRowHeight="12.75"/>
  <cols>
    <col min="1" max="1" width="4.140625" style="61" customWidth="1"/>
    <col min="2" max="2" width="51.57421875" style="2" customWidth="1"/>
    <col min="3" max="3" width="15.140625" style="18" customWidth="1"/>
    <col min="4" max="4" width="6.7109375" style="2" customWidth="1"/>
    <col min="5" max="5" width="6.8515625" style="2" customWidth="1"/>
    <col min="6" max="6" width="9.7109375" style="2" customWidth="1"/>
    <col min="7" max="7" width="11.00390625" style="2" customWidth="1"/>
    <col min="8" max="8" width="7.140625" style="2" customWidth="1"/>
    <col min="9" max="9" width="9.8515625" style="2" bestFit="1" customWidth="1"/>
    <col min="10" max="10" width="12.421875" style="2" customWidth="1"/>
    <col min="11" max="11" width="7.421875" style="2" customWidth="1"/>
    <col min="12" max="12" width="9.57421875" style="2" customWidth="1"/>
    <col min="13" max="13" width="11.00390625" style="2" customWidth="1"/>
    <col min="14" max="14" width="9.140625" style="2" customWidth="1"/>
    <col min="15" max="15" width="13.28125" style="2" customWidth="1"/>
    <col min="16" max="16" width="18.57421875" style="2" customWidth="1"/>
    <col min="17" max="16384" width="9.140625" style="2" customWidth="1"/>
  </cols>
  <sheetData>
    <row r="1" spans="2:10" ht="21.75" customHeight="1">
      <c r="B1" s="126"/>
      <c r="C1" s="1279" t="s">
        <v>1166</v>
      </c>
      <c r="D1" s="1279"/>
      <c r="E1" s="1279"/>
      <c r="F1" s="1279"/>
      <c r="G1" s="80"/>
      <c r="H1" s="126"/>
      <c r="I1" s="126"/>
      <c r="J1" s="126"/>
    </row>
    <row r="2" spans="11:12" ht="18" customHeight="1">
      <c r="K2" s="1291" t="s">
        <v>1153</v>
      </c>
      <c r="L2" s="1291"/>
    </row>
    <row r="3" spans="2:13" ht="33" customHeight="1">
      <c r="B3" s="1290" t="s">
        <v>125</v>
      </c>
      <c r="C3" s="1290"/>
      <c r="D3" s="1290"/>
      <c r="E3" s="1290"/>
      <c r="F3" s="1290"/>
      <c r="G3" s="1290"/>
      <c r="H3" s="1290"/>
      <c r="I3" s="1290"/>
      <c r="J3" s="33"/>
      <c r="K3" s="1289" t="s">
        <v>1152</v>
      </c>
      <c r="L3" s="1289"/>
      <c r="M3" s="1289"/>
    </row>
    <row r="4" spans="1:8" ht="14.25" customHeight="1">
      <c r="A4" s="67"/>
      <c r="B4" s="68"/>
      <c r="C4" s="69"/>
      <c r="D4" s="68"/>
      <c r="E4" s="68"/>
      <c r="F4" s="68"/>
      <c r="G4" s="68"/>
      <c r="H4" s="68"/>
    </row>
    <row r="5" spans="1:13" s="56" customFormat="1" ht="34.5" customHeight="1">
      <c r="A5" s="1283" t="s">
        <v>1056</v>
      </c>
      <c r="B5" s="1283" t="s">
        <v>1057</v>
      </c>
      <c r="C5" s="1266" t="s">
        <v>1331</v>
      </c>
      <c r="D5" s="1283" t="s">
        <v>1058</v>
      </c>
      <c r="E5" s="1283" t="s">
        <v>1059</v>
      </c>
      <c r="F5" s="1283"/>
      <c r="G5" s="1283"/>
      <c r="H5" s="1283" t="s">
        <v>814</v>
      </c>
      <c r="I5" s="1283"/>
      <c r="J5" s="1283"/>
      <c r="K5" s="1253" t="s">
        <v>1603</v>
      </c>
      <c r="L5" s="1254"/>
      <c r="M5" s="1255"/>
    </row>
    <row r="6" spans="1:13" ht="22.5" customHeight="1">
      <c r="A6" s="1283"/>
      <c r="B6" s="1283"/>
      <c r="C6" s="1267"/>
      <c r="D6" s="1283"/>
      <c r="E6" s="30" t="s">
        <v>1329</v>
      </c>
      <c r="F6" s="30" t="s">
        <v>361</v>
      </c>
      <c r="G6" s="124" t="s">
        <v>1434</v>
      </c>
      <c r="H6" s="30" t="s">
        <v>1329</v>
      </c>
      <c r="I6" s="30" t="s">
        <v>361</v>
      </c>
      <c r="J6" s="124" t="s">
        <v>1434</v>
      </c>
      <c r="K6" s="6" t="s">
        <v>1329</v>
      </c>
      <c r="L6" s="6" t="s">
        <v>361</v>
      </c>
      <c r="M6" s="6" t="s">
        <v>1434</v>
      </c>
    </row>
    <row r="7" spans="1:13" ht="15.75">
      <c r="A7" s="127">
        <v>1</v>
      </c>
      <c r="B7" s="30">
        <v>2</v>
      </c>
      <c r="C7" s="30">
        <v>3</v>
      </c>
      <c r="D7" s="30">
        <v>4</v>
      </c>
      <c r="E7" s="128">
        <v>5</v>
      </c>
      <c r="F7" s="128">
        <v>6</v>
      </c>
      <c r="G7" s="128">
        <v>7</v>
      </c>
      <c r="H7" s="30">
        <v>8</v>
      </c>
      <c r="I7" s="30">
        <v>9</v>
      </c>
      <c r="J7" s="30">
        <v>10</v>
      </c>
      <c r="K7" s="30">
        <v>11</v>
      </c>
      <c r="L7" s="30">
        <v>12</v>
      </c>
      <c r="M7" s="30">
        <v>13</v>
      </c>
    </row>
    <row r="8" spans="1:14" ht="20.25" customHeight="1">
      <c r="A8" s="1286">
        <v>1</v>
      </c>
      <c r="B8" s="224" t="s">
        <v>499</v>
      </c>
      <c r="C8" s="19">
        <v>7130800033</v>
      </c>
      <c r="D8" s="3" t="s">
        <v>1061</v>
      </c>
      <c r="E8" s="229">
        <v>2</v>
      </c>
      <c r="F8" s="943">
        <f>VLOOKUP(C8,'SOR RATE'!A:D,4,0)</f>
        <v>3129</v>
      </c>
      <c r="G8" s="943">
        <f>E8*F8</f>
        <v>6258</v>
      </c>
      <c r="H8" s="221"/>
      <c r="I8" s="221"/>
      <c r="J8" s="221"/>
      <c r="K8" s="289"/>
      <c r="L8" s="289"/>
      <c r="M8" s="289"/>
      <c r="N8" s="145"/>
    </row>
    <row r="9" spans="1:14" ht="36" customHeight="1">
      <c r="A9" s="1287"/>
      <c r="B9" s="224" t="s">
        <v>1860</v>
      </c>
      <c r="C9" s="934">
        <v>7130601958</v>
      </c>
      <c r="D9" s="3" t="s">
        <v>1070</v>
      </c>
      <c r="E9" s="221"/>
      <c r="F9" s="4"/>
      <c r="G9" s="4"/>
      <c r="H9" s="221">
        <v>964.6</v>
      </c>
      <c r="I9" s="936">
        <f>VLOOKUP(C9,'SOR RATE'!A:D,4,0)/1000</f>
        <v>44.989</v>
      </c>
      <c r="J9" s="4">
        <f>I9*H9</f>
        <v>43396.3894</v>
      </c>
      <c r="K9" s="289"/>
      <c r="L9" s="289"/>
      <c r="M9" s="289"/>
      <c r="N9" s="145"/>
    </row>
    <row r="10" spans="1:14" ht="34.5" customHeight="1">
      <c r="A10" s="1287"/>
      <c r="B10" s="224" t="s">
        <v>1861</v>
      </c>
      <c r="C10" s="19">
        <v>7130601072</v>
      </c>
      <c r="D10" s="3" t="s">
        <v>1070</v>
      </c>
      <c r="E10" s="221"/>
      <c r="F10" s="943"/>
      <c r="G10" s="4"/>
      <c r="H10" s="221"/>
      <c r="I10" s="936"/>
      <c r="J10" s="4"/>
      <c r="K10" s="4"/>
      <c r="L10" s="4"/>
      <c r="M10" s="4"/>
      <c r="N10" s="145"/>
    </row>
    <row r="11" spans="1:16" ht="19.5" customHeight="1">
      <c r="A11" s="1288"/>
      <c r="B11" s="224" t="s">
        <v>1348</v>
      </c>
      <c r="C11" s="19"/>
      <c r="D11" s="3" t="s">
        <v>1061</v>
      </c>
      <c r="E11" s="221"/>
      <c r="F11" s="943"/>
      <c r="G11" s="4"/>
      <c r="H11" s="221"/>
      <c r="I11" s="936"/>
      <c r="J11" s="4"/>
      <c r="K11" s="225">
        <v>2</v>
      </c>
      <c r="L11" s="4">
        <v>5022</v>
      </c>
      <c r="M11" s="4">
        <f>K11*L11</f>
        <v>10044</v>
      </c>
      <c r="N11" s="145"/>
      <c r="O11" s="1292" t="s">
        <v>1605</v>
      </c>
      <c r="P11" s="1292"/>
    </row>
    <row r="12" spans="1:14" ht="18.75" customHeight="1">
      <c r="A12" s="229">
        <v>2</v>
      </c>
      <c r="B12" s="972" t="s">
        <v>1970</v>
      </c>
      <c r="C12" s="19">
        <v>7130810608</v>
      </c>
      <c r="D12" s="229" t="s">
        <v>1061</v>
      </c>
      <c r="E12" s="221">
        <v>1</v>
      </c>
      <c r="F12" s="943">
        <f>VLOOKUP(C12,'SOR RATE'!A:D,4,0)</f>
        <v>5377</v>
      </c>
      <c r="G12" s="4">
        <f>F12*E12</f>
        <v>5377</v>
      </c>
      <c r="H12" s="221">
        <v>1</v>
      </c>
      <c r="I12" s="936">
        <f>VLOOKUP(C12,'SOR RATE'!A:D,4,0)</f>
        <v>5377</v>
      </c>
      <c r="J12" s="4">
        <f>I12*H12</f>
        <v>5377</v>
      </c>
      <c r="K12" s="225">
        <v>1</v>
      </c>
      <c r="L12" s="4">
        <f>VLOOKUP(C12,'SOR RATE'!A:D,4,0)</f>
        <v>5377</v>
      </c>
      <c r="M12" s="4">
        <f aca="true" t="shared" si="0" ref="M12:M42">K12*L12</f>
        <v>5377</v>
      </c>
      <c r="N12" s="145"/>
    </row>
    <row r="13" spans="1:16" ht="18" customHeight="1">
      <c r="A13" s="221">
        <v>3</v>
      </c>
      <c r="B13" s="922" t="s">
        <v>1155</v>
      </c>
      <c r="C13" s="19">
        <v>7130820011</v>
      </c>
      <c r="D13" s="221" t="s">
        <v>1061</v>
      </c>
      <c r="E13" s="221">
        <v>18</v>
      </c>
      <c r="F13" s="943">
        <f>VLOOKUP(C13,'SOR RATE'!A:D,4,0)</f>
        <v>354</v>
      </c>
      <c r="G13" s="4">
        <f>F13*E13</f>
        <v>6372</v>
      </c>
      <c r="H13" s="221">
        <v>18</v>
      </c>
      <c r="I13" s="936">
        <f>VLOOKUP(C13,'SOR RATE'!A:D,4,0)</f>
        <v>354</v>
      </c>
      <c r="J13" s="4">
        <f>I13*H13</f>
        <v>6372</v>
      </c>
      <c r="K13" s="225">
        <v>18</v>
      </c>
      <c r="L13" s="4">
        <f>VLOOKUP(C13,'SOR RATE'!A:D,4,0)</f>
        <v>354</v>
      </c>
      <c r="M13" s="4">
        <f t="shared" si="0"/>
        <v>6372</v>
      </c>
      <c r="N13" s="145"/>
      <c r="O13" s="1277" t="s">
        <v>1156</v>
      </c>
      <c r="P13" s="1277"/>
    </row>
    <row r="14" spans="1:14" ht="20.25" customHeight="1">
      <c r="A14" s="221">
        <v>4</v>
      </c>
      <c r="B14" s="922" t="s">
        <v>504</v>
      </c>
      <c r="C14" s="934">
        <v>7130820248</v>
      </c>
      <c r="D14" s="221" t="s">
        <v>1061</v>
      </c>
      <c r="E14" s="221">
        <v>6</v>
      </c>
      <c r="F14" s="943">
        <f>VLOOKUP(C14,'SOR RATE'!A:D,4,0)</f>
        <v>255</v>
      </c>
      <c r="G14" s="4">
        <f>F14*E14</f>
        <v>1530</v>
      </c>
      <c r="H14" s="221">
        <v>6</v>
      </c>
      <c r="I14" s="936">
        <f>VLOOKUP(C14,'SOR RATE'!A:D,4,0)</f>
        <v>255</v>
      </c>
      <c r="J14" s="4">
        <f>I14*H14</f>
        <v>1530</v>
      </c>
      <c r="K14" s="225">
        <v>6</v>
      </c>
      <c r="L14" s="4">
        <f>VLOOKUP(C14,'SOR RATE'!A:D,4,0)</f>
        <v>255</v>
      </c>
      <c r="M14" s="4">
        <f t="shared" si="0"/>
        <v>1530</v>
      </c>
      <c r="N14" s="145"/>
    </row>
    <row r="15" spans="1:16" ht="15.75" customHeight="1">
      <c r="A15" s="228">
        <v>5</v>
      </c>
      <c r="B15" s="224" t="s">
        <v>1147</v>
      </c>
      <c r="C15" s="19">
        <v>7130820009</v>
      </c>
      <c r="D15" s="221" t="s">
        <v>1061</v>
      </c>
      <c r="E15" s="221">
        <v>3</v>
      </c>
      <c r="F15" s="943">
        <f>VLOOKUP(C15,'SOR RATE'!A:D,4,0)</f>
        <v>388</v>
      </c>
      <c r="G15" s="4">
        <f>F15*E15</f>
        <v>1164</v>
      </c>
      <c r="H15" s="221">
        <v>3</v>
      </c>
      <c r="I15" s="936">
        <f>VLOOKUP(C15,'SOR RATE'!A:D,4,0)</f>
        <v>388</v>
      </c>
      <c r="J15" s="4">
        <f>I15*H15</f>
        <v>1164</v>
      </c>
      <c r="K15" s="225">
        <v>3</v>
      </c>
      <c r="L15" s="4">
        <f>VLOOKUP(C15,'SOR RATE'!A:D,4,0)</f>
        <v>388</v>
      </c>
      <c r="M15" s="4">
        <f t="shared" si="0"/>
        <v>1164</v>
      </c>
      <c r="N15" s="145"/>
      <c r="O15" s="1278" t="s">
        <v>1986</v>
      </c>
      <c r="P15" s="1278"/>
    </row>
    <row r="16" spans="1:14" ht="33" customHeight="1">
      <c r="A16" s="1286">
        <v>6</v>
      </c>
      <c r="B16" s="922" t="s">
        <v>1327</v>
      </c>
      <c r="C16" s="19"/>
      <c r="D16" s="228" t="s">
        <v>1061</v>
      </c>
      <c r="E16" s="221">
        <v>1</v>
      </c>
      <c r="F16" s="943">
        <f>G17+G21</f>
        <v>3472.84</v>
      </c>
      <c r="G16" s="4"/>
      <c r="H16" s="221">
        <v>1</v>
      </c>
      <c r="I16" s="4">
        <f>J18+J21</f>
        <v>3588.84</v>
      </c>
      <c r="J16" s="4"/>
      <c r="K16" s="225"/>
      <c r="L16" s="4">
        <f>M17+M21</f>
        <v>3472.84</v>
      </c>
      <c r="M16" s="4"/>
      <c r="N16" s="145"/>
    </row>
    <row r="17" spans="1:14" ht="16.5" customHeight="1">
      <c r="A17" s="1287"/>
      <c r="B17" s="224" t="s">
        <v>1958</v>
      </c>
      <c r="C17" s="19">
        <v>7130810193</v>
      </c>
      <c r="D17" s="3" t="s">
        <v>1061</v>
      </c>
      <c r="E17" s="221">
        <v>4</v>
      </c>
      <c r="F17" s="943">
        <f>VLOOKUP(C17,'SOR RATE'!A:D,4,0)</f>
        <v>265</v>
      </c>
      <c r="G17" s="4">
        <f>F17*E17</f>
        <v>1060</v>
      </c>
      <c r="H17" s="221"/>
      <c r="I17" s="221"/>
      <c r="J17" s="221"/>
      <c r="K17" s="225">
        <v>4</v>
      </c>
      <c r="L17" s="4">
        <f>VLOOKUP(C17,'SOR RATE'!A:D,4,0)</f>
        <v>265</v>
      </c>
      <c r="M17" s="4">
        <f t="shared" si="0"/>
        <v>1060</v>
      </c>
      <c r="N17" s="145"/>
    </row>
    <row r="18" spans="1:14" ht="16.5" customHeight="1">
      <c r="A18" s="1287"/>
      <c r="B18" s="224" t="s">
        <v>436</v>
      </c>
      <c r="C18" s="19">
        <v>7130810692</v>
      </c>
      <c r="D18" s="3" t="s">
        <v>1061</v>
      </c>
      <c r="E18" s="228"/>
      <c r="F18" s="4"/>
      <c r="G18" s="4"/>
      <c r="H18" s="221">
        <v>4</v>
      </c>
      <c r="I18" s="936">
        <f>VLOOKUP(C18,'SOR RATE'!A:D,4,0)</f>
        <v>294</v>
      </c>
      <c r="J18" s="4">
        <f>I18*H18</f>
        <v>1176</v>
      </c>
      <c r="K18" s="4"/>
      <c r="L18" s="4"/>
      <c r="M18" s="4"/>
      <c r="N18" s="145"/>
    </row>
    <row r="19" spans="1:14" ht="16.5" customHeight="1">
      <c r="A19" s="1287"/>
      <c r="B19" s="224" t="s">
        <v>1963</v>
      </c>
      <c r="C19" s="19">
        <v>7130810201</v>
      </c>
      <c r="D19" s="3" t="s">
        <v>1061</v>
      </c>
      <c r="E19" s="228"/>
      <c r="F19" s="943"/>
      <c r="G19" s="4"/>
      <c r="H19" s="221"/>
      <c r="I19" s="936"/>
      <c r="J19" s="4"/>
      <c r="K19" s="4"/>
      <c r="L19" s="4"/>
      <c r="M19" s="4"/>
      <c r="N19" s="145"/>
    </row>
    <row r="20" spans="1:14" ht="16.5" customHeight="1">
      <c r="A20" s="1287"/>
      <c r="B20" s="224" t="s">
        <v>1964</v>
      </c>
      <c r="C20" s="19">
        <v>7130810251</v>
      </c>
      <c r="D20" s="3" t="s">
        <v>1061</v>
      </c>
      <c r="E20" s="228"/>
      <c r="F20" s="943"/>
      <c r="G20" s="4"/>
      <c r="H20" s="221"/>
      <c r="I20" s="936"/>
      <c r="J20" s="4"/>
      <c r="K20" s="4"/>
      <c r="L20" s="4"/>
      <c r="M20" s="4"/>
      <c r="N20" s="145"/>
    </row>
    <row r="21" spans="1:14" ht="18" customHeight="1">
      <c r="A21" s="1288"/>
      <c r="B21" s="922" t="s">
        <v>1862</v>
      </c>
      <c r="C21" s="19">
        <v>7130600032</v>
      </c>
      <c r="D21" s="228" t="s">
        <v>1070</v>
      </c>
      <c r="E21" s="228">
        <v>60</v>
      </c>
      <c r="F21" s="943">
        <f>VLOOKUP(C21,'SOR RATE'!A:D,4,0)/1000</f>
        <v>40.214</v>
      </c>
      <c r="G21" s="4">
        <f>F21*E21</f>
        <v>2412.84</v>
      </c>
      <c r="H21" s="221">
        <v>60</v>
      </c>
      <c r="I21" s="936">
        <f>VLOOKUP(C21,'SOR RATE'!A:D,4,0)/1000</f>
        <v>40.214</v>
      </c>
      <c r="J21" s="4">
        <f>I21*H21</f>
        <v>2412.84</v>
      </c>
      <c r="K21" s="225">
        <v>60</v>
      </c>
      <c r="L21" s="4">
        <f>VLOOKUP(C21,'SOR RATE'!A:D,4,0)/1000</f>
        <v>40.214</v>
      </c>
      <c r="M21" s="4">
        <f t="shared" si="0"/>
        <v>2412.84</v>
      </c>
      <c r="N21" s="145"/>
    </row>
    <row r="22" spans="1:14" ht="16.5" customHeight="1">
      <c r="A22" s="1286">
        <v>7</v>
      </c>
      <c r="B22" s="224" t="s">
        <v>1954</v>
      </c>
      <c r="C22" s="19">
        <v>7130860033</v>
      </c>
      <c r="D22" s="3" t="s">
        <v>1061</v>
      </c>
      <c r="E22" s="225">
        <v>6</v>
      </c>
      <c r="F22" s="943">
        <f>VLOOKUP(C22,'SOR RATE'!A:D,4,0)</f>
        <v>705</v>
      </c>
      <c r="G22" s="4">
        <f>F22*E22</f>
        <v>4230</v>
      </c>
      <c r="H22" s="221">
        <v>6</v>
      </c>
      <c r="I22" s="936">
        <f>VLOOKUP(C22,'SOR RATE'!A:D,4,0)</f>
        <v>705</v>
      </c>
      <c r="J22" s="4">
        <f>I22*H22</f>
        <v>4230</v>
      </c>
      <c r="K22" s="225">
        <v>6</v>
      </c>
      <c r="L22" s="4">
        <f>VLOOKUP(C22,'SOR RATE'!A:D,4,0)</f>
        <v>705</v>
      </c>
      <c r="M22" s="4">
        <f t="shared" si="0"/>
        <v>4230</v>
      </c>
      <c r="N22" s="145"/>
    </row>
    <row r="23" spans="1:14" ht="15.75" customHeight="1">
      <c r="A23" s="1287"/>
      <c r="B23" s="224" t="s">
        <v>1962</v>
      </c>
      <c r="C23" s="19">
        <v>7130810193</v>
      </c>
      <c r="D23" s="3" t="s">
        <v>1061</v>
      </c>
      <c r="E23" s="225">
        <v>6</v>
      </c>
      <c r="F23" s="943">
        <f>VLOOKUP(C23,'SOR RATE'!A:D,4,0)</f>
        <v>265</v>
      </c>
      <c r="G23" s="4">
        <f>F23*E23</f>
        <v>1590</v>
      </c>
      <c r="H23" s="221"/>
      <c r="I23" s="4"/>
      <c r="J23" s="4"/>
      <c r="K23" s="225">
        <v>6</v>
      </c>
      <c r="L23" s="4">
        <f>VLOOKUP(C23,'SOR RATE'!A:D,4,0)</f>
        <v>265</v>
      </c>
      <c r="M23" s="4">
        <f t="shared" si="0"/>
        <v>1590</v>
      </c>
      <c r="N23" s="145"/>
    </row>
    <row r="24" spans="1:14" ht="18" customHeight="1">
      <c r="A24" s="1287"/>
      <c r="B24" s="224" t="s">
        <v>437</v>
      </c>
      <c r="C24" s="19">
        <v>7130810692</v>
      </c>
      <c r="D24" s="3" t="s">
        <v>1061</v>
      </c>
      <c r="E24" s="225"/>
      <c r="F24" s="4"/>
      <c r="G24" s="4"/>
      <c r="H24" s="221">
        <v>6</v>
      </c>
      <c r="I24" s="936">
        <f>VLOOKUP(C24,'SOR RATE'!A:D,4,0)</f>
        <v>294</v>
      </c>
      <c r="J24" s="4">
        <f>I24*H24</f>
        <v>1764</v>
      </c>
      <c r="K24" s="4"/>
      <c r="L24" s="4"/>
      <c r="M24" s="4"/>
      <c r="N24" s="145"/>
    </row>
    <row r="25" spans="1:14" ht="18" customHeight="1">
      <c r="A25" s="1287"/>
      <c r="B25" s="224" t="s">
        <v>1148</v>
      </c>
      <c r="C25" s="19">
        <v>7130810201</v>
      </c>
      <c r="D25" s="3" t="s">
        <v>1061</v>
      </c>
      <c r="E25" s="225"/>
      <c r="F25" s="943"/>
      <c r="G25" s="4"/>
      <c r="H25" s="221"/>
      <c r="I25" s="936"/>
      <c r="J25" s="4"/>
      <c r="K25" s="4"/>
      <c r="L25" s="4"/>
      <c r="M25" s="4"/>
      <c r="N25" s="145"/>
    </row>
    <row r="26" spans="1:14" ht="18" customHeight="1">
      <c r="A26" s="1287"/>
      <c r="B26" s="224" t="s">
        <v>1149</v>
      </c>
      <c r="C26" s="19">
        <v>7130810251</v>
      </c>
      <c r="D26" s="3" t="s">
        <v>1061</v>
      </c>
      <c r="E26" s="225"/>
      <c r="F26" s="943"/>
      <c r="G26" s="4"/>
      <c r="H26" s="221"/>
      <c r="I26" s="936"/>
      <c r="J26" s="4"/>
      <c r="K26" s="4"/>
      <c r="L26" s="4"/>
      <c r="M26" s="4"/>
      <c r="N26" s="145"/>
    </row>
    <row r="27" spans="1:14" ht="18" customHeight="1">
      <c r="A27" s="1288"/>
      <c r="B27" s="224" t="s">
        <v>1863</v>
      </c>
      <c r="C27" s="19">
        <v>7130860076</v>
      </c>
      <c r="D27" s="3" t="s">
        <v>1070</v>
      </c>
      <c r="E27" s="225">
        <v>51</v>
      </c>
      <c r="F27" s="943">
        <f>VLOOKUP(C27,'SOR RATE'!A:D,4,0)/1000</f>
        <v>61.002</v>
      </c>
      <c r="G27" s="4">
        <f>F27*E27</f>
        <v>3111.1020000000003</v>
      </c>
      <c r="H27" s="221">
        <v>51</v>
      </c>
      <c r="I27" s="936">
        <f>VLOOKUP(C27,'SOR RATE'!A:D,4,0)/1000</f>
        <v>61.002</v>
      </c>
      <c r="J27" s="4">
        <f>I27*H27</f>
        <v>3111.1020000000003</v>
      </c>
      <c r="K27" s="225">
        <v>51</v>
      </c>
      <c r="L27" s="4">
        <f>VLOOKUP(C27,'SOR RATE'!A:D,4,0)/1000</f>
        <v>61.002</v>
      </c>
      <c r="M27" s="4">
        <f t="shared" si="0"/>
        <v>3111.1020000000003</v>
      </c>
      <c r="N27" s="145"/>
    </row>
    <row r="28" spans="1:14" ht="18" customHeight="1">
      <c r="A28" s="932">
        <v>8</v>
      </c>
      <c r="B28" s="224" t="s">
        <v>1297</v>
      </c>
      <c r="C28" s="19">
        <v>7130810624</v>
      </c>
      <c r="D28" s="3" t="s">
        <v>1023</v>
      </c>
      <c r="E28" s="225">
        <v>6</v>
      </c>
      <c r="F28" s="943">
        <f>VLOOKUP(C28,'SOR RATE'!A:D,4,0)</f>
        <v>90</v>
      </c>
      <c r="G28" s="4">
        <f>F28*E28</f>
        <v>540</v>
      </c>
      <c r="H28" s="221">
        <v>6</v>
      </c>
      <c r="I28" s="936">
        <f>VLOOKUP(C28,'SOR RATE'!A:D,4,0)</f>
        <v>90</v>
      </c>
      <c r="J28" s="4">
        <f>I28*H28</f>
        <v>540</v>
      </c>
      <c r="K28" s="225">
        <v>6</v>
      </c>
      <c r="L28" s="4">
        <f>VLOOKUP(C28,'SOR RATE'!A:D,4,0)</f>
        <v>90</v>
      </c>
      <c r="M28" s="4">
        <f t="shared" si="0"/>
        <v>540</v>
      </c>
      <c r="N28" s="145"/>
    </row>
    <row r="29" spans="1:14" ht="64.5" customHeight="1">
      <c r="A29" s="1286">
        <v>9</v>
      </c>
      <c r="B29" s="224" t="s">
        <v>573</v>
      </c>
      <c r="C29" s="19"/>
      <c r="D29" s="3" t="s">
        <v>1065</v>
      </c>
      <c r="E29" s="4"/>
      <c r="F29" s="4"/>
      <c r="G29" s="4"/>
      <c r="H29" s="4"/>
      <c r="I29" s="4"/>
      <c r="J29" s="4"/>
      <c r="K29" s="4"/>
      <c r="L29" s="4"/>
      <c r="M29" s="4"/>
      <c r="N29" s="145"/>
    </row>
    <row r="30" spans="1:14" ht="19.5" customHeight="1">
      <c r="A30" s="1287"/>
      <c r="B30" s="224" t="s">
        <v>1654</v>
      </c>
      <c r="C30" s="19">
        <v>7130200401</v>
      </c>
      <c r="D30" s="3" t="s">
        <v>1070</v>
      </c>
      <c r="E30" s="225">
        <f>1.1*208</f>
        <v>228.8</v>
      </c>
      <c r="F30" s="943">
        <f>VLOOKUP(C30,'SOR RATE'!A:D,4,0)/50</f>
        <v>5.36</v>
      </c>
      <c r="G30" s="4">
        <f aca="true" t="shared" si="1" ref="G30:G36">F30*E30</f>
        <v>1226.3680000000002</v>
      </c>
      <c r="H30" s="944">
        <f>1.3*208</f>
        <v>270.40000000000003</v>
      </c>
      <c r="I30" s="936">
        <f>VLOOKUP(C30,'SOR RATE'!A:D,4,0)/50</f>
        <v>5.36</v>
      </c>
      <c r="J30" s="4">
        <f aca="true" t="shared" si="2" ref="J30:J36">I30*H30</f>
        <v>1449.3440000000003</v>
      </c>
      <c r="K30" s="941">
        <f>1.3*208</f>
        <v>270.40000000000003</v>
      </c>
      <c r="L30" s="4">
        <f>VLOOKUP(C30,'SOR RATE'!A:D,4,0)/50</f>
        <v>5.36</v>
      </c>
      <c r="M30" s="4">
        <f t="shared" si="0"/>
        <v>1449.3440000000003</v>
      </c>
      <c r="N30" s="145"/>
    </row>
    <row r="31" spans="1:14" ht="19.5" customHeight="1">
      <c r="A31" s="1288"/>
      <c r="B31" s="224" t="s">
        <v>1655</v>
      </c>
      <c r="C31" s="19">
        <v>7130200401</v>
      </c>
      <c r="D31" s="3" t="s">
        <v>1070</v>
      </c>
      <c r="E31" s="225">
        <f>1.8*208</f>
        <v>374.40000000000003</v>
      </c>
      <c r="F31" s="943">
        <f>VLOOKUP(C31,'SOR RATE'!A:D,4,0)/50</f>
        <v>5.36</v>
      </c>
      <c r="G31" s="4">
        <f t="shared" si="1"/>
        <v>2006.7840000000003</v>
      </c>
      <c r="H31" s="941">
        <f>1.8*208</f>
        <v>374.40000000000003</v>
      </c>
      <c r="I31" s="936">
        <f>VLOOKUP(C31,'SOR RATE'!A:D,4,0)/50</f>
        <v>5.36</v>
      </c>
      <c r="J31" s="4">
        <f t="shared" si="2"/>
        <v>2006.7840000000003</v>
      </c>
      <c r="K31" s="941">
        <f>1.8*208</f>
        <v>374.40000000000003</v>
      </c>
      <c r="L31" s="4">
        <f>VLOOKUP(C31,'SOR RATE'!A:D,4,0)/50</f>
        <v>5.36</v>
      </c>
      <c r="M31" s="4">
        <f t="shared" si="0"/>
        <v>2006.7840000000003</v>
      </c>
      <c r="N31" s="145"/>
    </row>
    <row r="32" spans="1:14" ht="19.5" customHeight="1">
      <c r="A32" s="973">
        <v>10</v>
      </c>
      <c r="B32" s="224" t="s">
        <v>1062</v>
      </c>
      <c r="C32" s="19">
        <v>7130870013</v>
      </c>
      <c r="D32" s="3" t="s">
        <v>1130</v>
      </c>
      <c r="E32" s="225">
        <v>2</v>
      </c>
      <c r="F32" s="943">
        <f>VLOOKUP(C32,'SOR RATE'!A:D,4,0)</f>
        <v>100</v>
      </c>
      <c r="G32" s="4">
        <f t="shared" si="1"/>
        <v>200</v>
      </c>
      <c r="H32" s="229">
        <v>2</v>
      </c>
      <c r="I32" s="936">
        <f>VLOOKUP(C32,'SOR RATE'!A:D,4,0)</f>
        <v>100</v>
      </c>
      <c r="J32" s="4">
        <f t="shared" si="2"/>
        <v>200</v>
      </c>
      <c r="K32" s="225">
        <v>2</v>
      </c>
      <c r="L32" s="4">
        <f>VLOOKUP(C32,'SOR RATE'!A:D,4,0)</f>
        <v>100</v>
      </c>
      <c r="M32" s="4">
        <f t="shared" si="0"/>
        <v>200</v>
      </c>
      <c r="N32" s="145"/>
    </row>
    <row r="33" spans="1:14" ht="16.5" customHeight="1">
      <c r="A33" s="922">
        <v>11</v>
      </c>
      <c r="B33" s="224" t="s">
        <v>1066</v>
      </c>
      <c r="C33" s="19">
        <v>7130211158</v>
      </c>
      <c r="D33" s="3" t="s">
        <v>1067</v>
      </c>
      <c r="E33" s="941">
        <v>0.5</v>
      </c>
      <c r="F33" s="943">
        <f>VLOOKUP(C33,'SOR RATE'!A:D,4,0)</f>
        <v>130</v>
      </c>
      <c r="G33" s="4">
        <f t="shared" si="1"/>
        <v>65</v>
      </c>
      <c r="H33" s="221">
        <v>2</v>
      </c>
      <c r="I33" s="936">
        <f>VLOOKUP(C33,'SOR RATE'!A:D,4,0)</f>
        <v>130</v>
      </c>
      <c r="J33" s="4">
        <f t="shared" si="2"/>
        <v>260</v>
      </c>
      <c r="K33" s="941">
        <v>0.5</v>
      </c>
      <c r="L33" s="4">
        <f>VLOOKUP(C33,'SOR RATE'!A:D,4,0)</f>
        <v>130</v>
      </c>
      <c r="M33" s="4">
        <f t="shared" si="0"/>
        <v>65</v>
      </c>
      <c r="N33" s="145"/>
    </row>
    <row r="34" spans="1:14" ht="18.75" customHeight="1">
      <c r="A34" s="973">
        <v>12</v>
      </c>
      <c r="B34" s="224" t="s">
        <v>1068</v>
      </c>
      <c r="C34" s="19">
        <v>7130210809</v>
      </c>
      <c r="D34" s="3" t="s">
        <v>1067</v>
      </c>
      <c r="E34" s="941">
        <v>0.5</v>
      </c>
      <c r="F34" s="943">
        <f>VLOOKUP(C34,'SOR RATE'!A:D,4,0)</f>
        <v>290</v>
      </c>
      <c r="G34" s="4">
        <f t="shared" si="1"/>
        <v>145</v>
      </c>
      <c r="H34" s="221">
        <v>2</v>
      </c>
      <c r="I34" s="936">
        <f>VLOOKUP(C34,'SOR RATE'!A:D,4,0)</f>
        <v>290</v>
      </c>
      <c r="J34" s="4">
        <f t="shared" si="2"/>
        <v>580</v>
      </c>
      <c r="K34" s="941">
        <v>0.5</v>
      </c>
      <c r="L34" s="4">
        <f>VLOOKUP(C34,'SOR RATE'!A:D,4,0)</f>
        <v>290</v>
      </c>
      <c r="M34" s="4">
        <f t="shared" si="0"/>
        <v>145</v>
      </c>
      <c r="N34" s="145"/>
    </row>
    <row r="35" spans="1:18" ht="21" customHeight="1">
      <c r="A35" s="922">
        <v>13</v>
      </c>
      <c r="B35" s="224" t="s">
        <v>430</v>
      </c>
      <c r="C35" s="19">
        <v>7130610206</v>
      </c>
      <c r="D35" s="3" t="s">
        <v>1070</v>
      </c>
      <c r="E35" s="225">
        <v>2</v>
      </c>
      <c r="F35" s="943">
        <f>VLOOKUP(C35,'SOR RATE'!A:D,4,0)/1000</f>
        <v>66.528</v>
      </c>
      <c r="G35" s="4">
        <f t="shared" si="1"/>
        <v>133.056</v>
      </c>
      <c r="H35" s="221">
        <v>2</v>
      </c>
      <c r="I35" s="936">
        <f>VLOOKUP(C35,'SOR RATE'!A:D,4,0)/1000</f>
        <v>66.528</v>
      </c>
      <c r="J35" s="4">
        <f t="shared" si="2"/>
        <v>133.056</v>
      </c>
      <c r="K35" s="225">
        <v>2</v>
      </c>
      <c r="L35" s="4">
        <f>VLOOKUP(C35,'SOR RATE'!A:D,4,0)/1000</f>
        <v>66.528</v>
      </c>
      <c r="M35" s="4">
        <f t="shared" si="0"/>
        <v>133.056</v>
      </c>
      <c r="N35" s="145"/>
      <c r="O35" s="104"/>
      <c r="P35" s="144"/>
      <c r="Q35" s="144"/>
      <c r="R35" s="144"/>
    </row>
    <row r="36" spans="1:14" ht="16.5" customHeight="1">
      <c r="A36" s="974">
        <v>14</v>
      </c>
      <c r="B36" s="224" t="s">
        <v>1957</v>
      </c>
      <c r="C36" s="19">
        <v>7130880041</v>
      </c>
      <c r="D36" s="3" t="s">
        <v>1061</v>
      </c>
      <c r="E36" s="225">
        <v>1</v>
      </c>
      <c r="F36" s="943">
        <f>VLOOKUP(C36,'SOR RATE'!A:D,4,0)</f>
        <v>74</v>
      </c>
      <c r="G36" s="4">
        <f t="shared" si="1"/>
        <v>74</v>
      </c>
      <c r="H36" s="221">
        <v>1</v>
      </c>
      <c r="I36" s="936">
        <f>VLOOKUP(C36,'SOR RATE'!A:D,4,0)</f>
        <v>74</v>
      </c>
      <c r="J36" s="4">
        <f t="shared" si="2"/>
        <v>74</v>
      </c>
      <c r="K36" s="225">
        <v>1</v>
      </c>
      <c r="L36" s="4">
        <f>VLOOKUP(C36,'SOR RATE'!A:D,4,0)</f>
        <v>74</v>
      </c>
      <c r="M36" s="4">
        <f t="shared" si="0"/>
        <v>74</v>
      </c>
      <c r="N36" s="145"/>
    </row>
    <row r="37" spans="1:14" ht="15">
      <c r="A37" s="1286">
        <v>15</v>
      </c>
      <c r="B37" s="224" t="s">
        <v>1071</v>
      </c>
      <c r="C37" s="19"/>
      <c r="D37" s="3" t="s">
        <v>1070</v>
      </c>
      <c r="E37" s="225">
        <v>7</v>
      </c>
      <c r="F37" s="4"/>
      <c r="G37" s="4"/>
      <c r="H37" s="228">
        <v>7</v>
      </c>
      <c r="I37" s="4"/>
      <c r="J37" s="4"/>
      <c r="K37" s="225">
        <v>7</v>
      </c>
      <c r="L37" s="4"/>
      <c r="M37" s="4"/>
      <c r="N37" s="145"/>
    </row>
    <row r="38" spans="1:14" ht="16.5" customHeight="1">
      <c r="A38" s="1287"/>
      <c r="B38" s="224" t="s">
        <v>1033</v>
      </c>
      <c r="C38" s="19">
        <v>7130620609</v>
      </c>
      <c r="D38" s="3" t="s">
        <v>1070</v>
      </c>
      <c r="E38" s="941">
        <v>0.5</v>
      </c>
      <c r="F38" s="943">
        <f>VLOOKUP(C38,'SOR RATE'!A:D,4,0)</f>
        <v>64</v>
      </c>
      <c r="G38" s="4">
        <f>F38*E38</f>
        <v>32</v>
      </c>
      <c r="H38" s="228">
        <v>0.5</v>
      </c>
      <c r="I38" s="936">
        <f>VLOOKUP(C38,'SOR RATE'!A:D,4,0)</f>
        <v>64</v>
      </c>
      <c r="J38" s="4">
        <f>I38*H38</f>
        <v>32</v>
      </c>
      <c r="K38" s="941">
        <v>0.5</v>
      </c>
      <c r="L38" s="4">
        <f>VLOOKUP(C38,'SOR RATE'!A:D,4,0)</f>
        <v>64</v>
      </c>
      <c r="M38" s="4">
        <f t="shared" si="0"/>
        <v>32</v>
      </c>
      <c r="N38" s="145"/>
    </row>
    <row r="39" spans="1:14" ht="15">
      <c r="A39" s="1287"/>
      <c r="B39" s="224" t="s">
        <v>1949</v>
      </c>
      <c r="C39" s="19">
        <v>7130620614</v>
      </c>
      <c r="D39" s="3" t="s">
        <v>1070</v>
      </c>
      <c r="E39" s="941">
        <v>0.5</v>
      </c>
      <c r="F39" s="943">
        <f>VLOOKUP(C39,'SOR RATE'!A:D,4,0)</f>
        <v>63</v>
      </c>
      <c r="G39" s="4">
        <f>F39*E39</f>
        <v>31.5</v>
      </c>
      <c r="H39" s="228">
        <v>0.5</v>
      </c>
      <c r="I39" s="936">
        <f>VLOOKUP(C39,'SOR RATE'!A:D,4,0)</f>
        <v>63</v>
      </c>
      <c r="J39" s="4">
        <f>I39*H39</f>
        <v>31.5</v>
      </c>
      <c r="K39" s="941">
        <v>0.5</v>
      </c>
      <c r="L39" s="4">
        <f>VLOOKUP(C39,'SOR RATE'!A:D,4,0)</f>
        <v>63</v>
      </c>
      <c r="M39" s="4">
        <f t="shared" si="0"/>
        <v>31.5</v>
      </c>
      <c r="N39" s="145"/>
    </row>
    <row r="40" spans="1:14" ht="15">
      <c r="A40" s="1287"/>
      <c r="B40" s="224" t="s">
        <v>1950</v>
      </c>
      <c r="C40" s="19">
        <v>7130620619</v>
      </c>
      <c r="D40" s="3" t="s">
        <v>1070</v>
      </c>
      <c r="E40" s="4"/>
      <c r="F40" s="943">
        <f>VLOOKUP(C40,'SOR RATE'!A:D,4,0)</f>
        <v>63</v>
      </c>
      <c r="G40" s="4"/>
      <c r="H40" s="228">
        <v>2.5</v>
      </c>
      <c r="I40" s="936">
        <f>VLOOKUP(C40,'SOR RATE'!A:D,4,0)</f>
        <v>63</v>
      </c>
      <c r="J40" s="4">
        <f>I40*H40</f>
        <v>157.5</v>
      </c>
      <c r="K40" s="4"/>
      <c r="L40" s="4">
        <f>VLOOKUP(C40,'SOR RATE'!A:D,4,0)</f>
        <v>63</v>
      </c>
      <c r="M40" s="4"/>
      <c r="N40" s="145"/>
    </row>
    <row r="41" spans="1:14" ht="16.5" customHeight="1">
      <c r="A41" s="1287"/>
      <c r="B41" s="224" t="s">
        <v>1951</v>
      </c>
      <c r="C41" s="19">
        <v>7130620625</v>
      </c>
      <c r="D41" s="3" t="s">
        <v>1070</v>
      </c>
      <c r="E41" s="225">
        <v>2</v>
      </c>
      <c r="F41" s="943">
        <f>VLOOKUP(C41,'SOR RATE'!A:D,4,0)</f>
        <v>62</v>
      </c>
      <c r="G41" s="4">
        <f>F41*E41</f>
        <v>124</v>
      </c>
      <c r="H41" s="228"/>
      <c r="I41" s="4"/>
      <c r="J41" s="4"/>
      <c r="K41" s="225">
        <v>2</v>
      </c>
      <c r="L41" s="4">
        <f>VLOOKUP(C41,'SOR RATE'!A:D,4,0)</f>
        <v>62</v>
      </c>
      <c r="M41" s="4">
        <f t="shared" si="0"/>
        <v>124</v>
      </c>
      <c r="N41" s="145"/>
    </row>
    <row r="42" spans="1:14" ht="15">
      <c r="A42" s="1288"/>
      <c r="B42" s="224" t="s">
        <v>1965</v>
      </c>
      <c r="C42" s="19">
        <v>7130620631</v>
      </c>
      <c r="D42" s="3" t="s">
        <v>1070</v>
      </c>
      <c r="E42" s="225">
        <v>4</v>
      </c>
      <c r="F42" s="943">
        <f>VLOOKUP(C42,'SOR RATE'!A:D,4,0)</f>
        <v>62</v>
      </c>
      <c r="G42" s="4">
        <f>F42*E42</f>
        <v>248</v>
      </c>
      <c r="H42" s="228">
        <v>3.5</v>
      </c>
      <c r="I42" s="936">
        <f>VLOOKUP(C42,'SOR RATE'!A:D,4,0)</f>
        <v>62</v>
      </c>
      <c r="J42" s="4">
        <f>I42*H42</f>
        <v>217</v>
      </c>
      <c r="K42" s="225">
        <v>4</v>
      </c>
      <c r="L42" s="4">
        <f>VLOOKUP(C42,'SOR RATE'!A:D,4,0)</f>
        <v>62</v>
      </c>
      <c r="M42" s="4">
        <f t="shared" si="0"/>
        <v>248</v>
      </c>
      <c r="N42" s="145"/>
    </row>
    <row r="43" spans="1:14" ht="16.5" customHeight="1">
      <c r="A43" s="975">
        <v>16</v>
      </c>
      <c r="B43" s="946" t="s">
        <v>771</v>
      </c>
      <c r="C43" s="976"/>
      <c r="D43" s="977"/>
      <c r="E43" s="127"/>
      <c r="F43" s="978"/>
      <c r="G43" s="978">
        <f>SUM(G8:G42)</f>
        <v>37930.65</v>
      </c>
      <c r="H43" s="923"/>
      <c r="I43" s="979"/>
      <c r="J43" s="6">
        <f>SUM(J8:J42)</f>
        <v>76214.51539999999</v>
      </c>
      <c r="K43" s="6"/>
      <c r="L43" s="6"/>
      <c r="M43" s="6">
        <f>SUM(M8:M42)</f>
        <v>41939.62599999999</v>
      </c>
      <c r="N43" s="145"/>
    </row>
    <row r="44" spans="1:14" ht="19.5" customHeight="1">
      <c r="A44" s="922">
        <v>17</v>
      </c>
      <c r="B44" s="224" t="s">
        <v>770</v>
      </c>
      <c r="C44" s="230"/>
      <c r="D44" s="230"/>
      <c r="E44" s="980"/>
      <c r="F44" s="19">
        <v>0.09</v>
      </c>
      <c r="G44" s="4">
        <f>G43*F44</f>
        <v>3413.7585</v>
      </c>
      <c r="H44" s="981"/>
      <c r="I44" s="981"/>
      <c r="J44" s="4">
        <f>J43*F44</f>
        <v>6859.306385999998</v>
      </c>
      <c r="K44" s="4"/>
      <c r="L44" s="4">
        <v>0.09</v>
      </c>
      <c r="M44" s="4">
        <f>M43*L44</f>
        <v>3774.566339999999</v>
      </c>
      <c r="N44" s="196"/>
    </row>
    <row r="45" spans="1:14" ht="19.5" customHeight="1">
      <c r="A45" s="231">
        <v>18</v>
      </c>
      <c r="B45" s="224" t="s">
        <v>1334</v>
      </c>
      <c r="C45" s="940"/>
      <c r="D45" s="3" t="s">
        <v>1065</v>
      </c>
      <c r="E45" s="941">
        <v>2.9</v>
      </c>
      <c r="F45" s="4">
        <f>1664*1.27*1.0891*1.086275*1.1112*1.0685</f>
        <v>2968.460981603261</v>
      </c>
      <c r="G45" s="4">
        <f>F45*E45</f>
        <v>8608.536846649456</v>
      </c>
      <c r="H45" s="221">
        <v>3.1</v>
      </c>
      <c r="I45" s="4">
        <f>+F45</f>
        <v>2968.460981603261</v>
      </c>
      <c r="J45" s="4">
        <f>I45*H45</f>
        <v>9202.22904297011</v>
      </c>
      <c r="K45" s="4">
        <v>3.1</v>
      </c>
      <c r="L45" s="4">
        <f>+F45</f>
        <v>2968.460981603261</v>
      </c>
      <c r="M45" s="4">
        <f>K45*L45</f>
        <v>9202.22904297011</v>
      </c>
      <c r="N45" s="145"/>
    </row>
    <row r="46" spans="1:14" ht="19.5" customHeight="1">
      <c r="A46" s="228">
        <v>19</v>
      </c>
      <c r="B46" s="982" t="s">
        <v>1969</v>
      </c>
      <c r="C46" s="983"/>
      <c r="D46" s="982"/>
      <c r="E46" s="228"/>
      <c r="F46" s="945"/>
      <c r="G46" s="945">
        <v>7344.69</v>
      </c>
      <c r="H46" s="228"/>
      <c r="I46" s="945"/>
      <c r="J46" s="945">
        <v>7706.29</v>
      </c>
      <c r="K46" s="289"/>
      <c r="L46" s="289"/>
      <c r="M46" s="945">
        <v>7872.71</v>
      </c>
      <c r="N46" s="145"/>
    </row>
    <row r="47" spans="1:14" ht="50.25" customHeight="1">
      <c r="A47" s="228">
        <v>20</v>
      </c>
      <c r="B47" s="982" t="s">
        <v>1966</v>
      </c>
      <c r="C47" s="983"/>
      <c r="D47" s="982"/>
      <c r="E47" s="228"/>
      <c r="F47" s="945"/>
      <c r="G47" s="945">
        <f>1.1*1.1*2289*1.2*1.1*1.1797*1.1402*0.9368</f>
        <v>4606.855522165925</v>
      </c>
      <c r="H47" s="228"/>
      <c r="I47" s="945"/>
      <c r="J47" s="945">
        <f>1.1*1.1*2289*1.2*1.1*1.1797*1.1402*0.9368</f>
        <v>4606.855522165925</v>
      </c>
      <c r="K47" s="289"/>
      <c r="L47" s="289"/>
      <c r="M47" s="945">
        <f>1.1*1.1*2289*1.2*1.1*1.1797*1.1402*0.9368</f>
        <v>4606.855522165925</v>
      </c>
      <c r="N47" s="145"/>
    </row>
    <row r="48" spans="1:14" ht="18.75" customHeight="1">
      <c r="A48" s="127">
        <v>21</v>
      </c>
      <c r="B48" s="946" t="s">
        <v>772</v>
      </c>
      <c r="C48" s="983"/>
      <c r="D48" s="982"/>
      <c r="E48" s="228"/>
      <c r="F48" s="945"/>
      <c r="G48" s="978">
        <f>G43+G44+G45+G46+G47</f>
        <v>61904.49086881539</v>
      </c>
      <c r="H48" s="978"/>
      <c r="I48" s="978"/>
      <c r="J48" s="978">
        <f>J43+J44+J45+J46+J47</f>
        <v>104589.19635113601</v>
      </c>
      <c r="K48" s="978"/>
      <c r="L48" s="978"/>
      <c r="M48" s="978">
        <f>M43+M44+M45+M46+M47</f>
        <v>67395.98690513601</v>
      </c>
      <c r="N48" s="145"/>
    </row>
    <row r="49" spans="1:14" ht="34.5" customHeight="1">
      <c r="A49" s="228">
        <v>22</v>
      </c>
      <c r="B49" s="224" t="s">
        <v>773</v>
      </c>
      <c r="C49" s="983"/>
      <c r="D49" s="982"/>
      <c r="E49" s="228"/>
      <c r="F49" s="945">
        <v>0.11</v>
      </c>
      <c r="G49" s="945">
        <f>G43*F49</f>
        <v>4172.3715</v>
      </c>
      <c r="H49" s="228"/>
      <c r="I49" s="945">
        <v>0.11</v>
      </c>
      <c r="J49" s="945">
        <f>J43*I49</f>
        <v>8383.596693999998</v>
      </c>
      <c r="K49" s="4"/>
      <c r="L49" s="4">
        <v>0.11</v>
      </c>
      <c r="M49" s="4">
        <f>M43*L49</f>
        <v>4613.3588599999985</v>
      </c>
      <c r="N49" s="145"/>
    </row>
    <row r="50" spans="1:14" s="57" customFormat="1" ht="20.25" customHeight="1">
      <c r="A50" s="221">
        <v>23</v>
      </c>
      <c r="B50" s="956" t="s">
        <v>498</v>
      </c>
      <c r="C50" s="940"/>
      <c r="D50" s="956"/>
      <c r="E50" s="221"/>
      <c r="F50" s="221"/>
      <c r="G50" s="4">
        <f>G48+G49</f>
        <v>66076.86236881539</v>
      </c>
      <c r="H50" s="4"/>
      <c r="I50" s="4"/>
      <c r="J50" s="4">
        <f>J48+J49</f>
        <v>112972.793045136</v>
      </c>
      <c r="K50" s="4"/>
      <c r="L50" s="4"/>
      <c r="M50" s="4">
        <f>M48+M49</f>
        <v>72009.34576513601</v>
      </c>
      <c r="N50" s="664"/>
    </row>
    <row r="51" spans="1:14" ht="34.5" customHeight="1">
      <c r="A51" s="30">
        <v>24</v>
      </c>
      <c r="B51" s="984" t="s">
        <v>1968</v>
      </c>
      <c r="C51" s="940"/>
      <c r="D51" s="956"/>
      <c r="E51" s="221"/>
      <c r="F51" s="221"/>
      <c r="G51" s="6">
        <f>ROUND(G50,0)</f>
        <v>66077</v>
      </c>
      <c r="H51" s="221"/>
      <c r="I51" s="4"/>
      <c r="J51" s="6">
        <f>ROUND(J50,0)</f>
        <v>112973</v>
      </c>
      <c r="K51" s="6"/>
      <c r="L51" s="6"/>
      <c r="M51" s="6">
        <f>ROUND(M50,0)</f>
        <v>72009</v>
      </c>
      <c r="N51" s="145"/>
    </row>
    <row r="52" spans="1:10" ht="9.75" customHeight="1">
      <c r="A52" s="88"/>
      <c r="B52" s="82"/>
      <c r="C52" s="89"/>
      <c r="D52" s="90"/>
      <c r="E52" s="87"/>
      <c r="F52" s="87"/>
      <c r="G52" s="54"/>
      <c r="H52" s="87"/>
      <c r="I52" s="53"/>
      <c r="J52" s="54"/>
    </row>
    <row r="53" spans="1:10" ht="15.75">
      <c r="A53" s="58" t="s">
        <v>1075</v>
      </c>
      <c r="B53" s="14"/>
      <c r="C53" s="15"/>
      <c r="D53" s="14"/>
      <c r="E53" s="16"/>
      <c r="F53" s="16"/>
      <c r="G53" s="17"/>
      <c r="H53" s="16"/>
      <c r="I53" s="16"/>
      <c r="J53" s="16"/>
    </row>
    <row r="54" spans="1:10" ht="15">
      <c r="A54" s="91">
        <v>1</v>
      </c>
      <c r="B54" s="92" t="s">
        <v>1326</v>
      </c>
      <c r="C54" s="93"/>
      <c r="D54" s="13"/>
      <c r="E54" s="13"/>
      <c r="F54" s="13"/>
      <c r="G54" s="13"/>
      <c r="H54" s="13"/>
      <c r="I54" s="13"/>
      <c r="J54" s="13"/>
    </row>
    <row r="55" spans="1:10" ht="15" customHeight="1">
      <c r="A55" s="59">
        <v>2</v>
      </c>
      <c r="B55" s="1285" t="s">
        <v>1076</v>
      </c>
      <c r="C55" s="1285"/>
      <c r="D55" s="94"/>
      <c r="E55" s="94"/>
      <c r="F55" s="94"/>
      <c r="G55" s="94"/>
      <c r="H55" s="94"/>
      <c r="I55" s="94"/>
      <c r="J55" s="94"/>
    </row>
    <row r="56" spans="1:10" ht="27.75" customHeight="1">
      <c r="A56" s="60"/>
      <c r="B56" s="56"/>
      <c r="C56" s="56"/>
      <c r="D56" s="56"/>
      <c r="E56" s="56"/>
      <c r="F56" s="56"/>
      <c r="G56" s="56"/>
      <c r="H56" s="56"/>
      <c r="I56" s="56"/>
      <c r="J56" s="56"/>
    </row>
  </sheetData>
  <sheetProtection/>
  <mergeCells count="20">
    <mergeCell ref="C1:F1"/>
    <mergeCell ref="K2:L2"/>
    <mergeCell ref="O13:P13"/>
    <mergeCell ref="O15:P15"/>
    <mergeCell ref="A8:A11"/>
    <mergeCell ref="O11:P11"/>
    <mergeCell ref="A5:A6"/>
    <mergeCell ref="E5:G5"/>
    <mergeCell ref="K5:M5"/>
    <mergeCell ref="H5:J5"/>
    <mergeCell ref="B55:C55"/>
    <mergeCell ref="A16:A21"/>
    <mergeCell ref="A37:A42"/>
    <mergeCell ref="A29:A31"/>
    <mergeCell ref="A22:A27"/>
    <mergeCell ref="K3:M3"/>
    <mergeCell ref="B3:I3"/>
    <mergeCell ref="C5:C6"/>
    <mergeCell ref="D5:D6"/>
    <mergeCell ref="B5:B6"/>
  </mergeCells>
  <printOptions gridLines="1" horizontalCentered="1"/>
  <pageMargins left="0.52" right="0.16" top="0.61" bottom="0.24" header="0.47" footer="0.16"/>
  <pageSetup horizontalDpi="300" verticalDpi="300" orientation="landscape" paperSize="9" scale="85" r:id="rId1"/>
</worksheet>
</file>

<file path=xl/worksheets/sheet6.xml><?xml version="1.0" encoding="utf-8"?>
<worksheet xmlns="http://schemas.openxmlformats.org/spreadsheetml/2006/main" xmlns:r="http://schemas.openxmlformats.org/officeDocument/2006/relationships">
  <sheetPr>
    <tabColor indexed="11"/>
  </sheetPr>
  <dimension ref="A1:Q98"/>
  <sheetViews>
    <sheetView zoomScale="85" zoomScaleNormal="85" zoomScaleSheetLayoutView="75"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2.75"/>
  <cols>
    <col min="1" max="1" width="4.421875" style="11" customWidth="1"/>
    <col min="2" max="2" width="41.7109375" style="1" customWidth="1"/>
    <col min="3" max="3" width="14.421875" style="65" customWidth="1"/>
    <col min="4" max="4" width="5.7109375" style="11" customWidth="1"/>
    <col min="5" max="5" width="6.140625" style="12" customWidth="1"/>
    <col min="6" max="6" width="11.28125" style="12" bestFit="1" customWidth="1"/>
    <col min="7" max="7" width="12.28125" style="12" customWidth="1"/>
    <col min="8" max="8" width="6.140625" style="12" customWidth="1"/>
    <col min="9" max="9" width="11.28125" style="12" bestFit="1" customWidth="1"/>
    <col min="10" max="10" width="12.28125" style="12" customWidth="1"/>
    <col min="11" max="11" width="6.57421875" style="1" bestFit="1" customWidth="1"/>
    <col min="12" max="12" width="11.28125" style="1" bestFit="1" customWidth="1"/>
    <col min="13" max="13" width="12.28125" style="1" customWidth="1"/>
    <col min="14" max="14" width="27.00390625" style="1" customWidth="1"/>
    <col min="15" max="15" width="16.7109375" style="1" customWidth="1"/>
    <col min="16" max="16384" width="9.140625" style="1" customWidth="1"/>
  </cols>
  <sheetData>
    <row r="1" spans="2:10" ht="22.5" customHeight="1">
      <c r="B1" s="129"/>
      <c r="C1" s="1299" t="s">
        <v>511</v>
      </c>
      <c r="D1" s="1299"/>
      <c r="E1" s="1299"/>
      <c r="F1" s="1299"/>
      <c r="G1" s="220"/>
      <c r="H1" s="129"/>
      <c r="I1" s="129"/>
      <c r="J1" s="129"/>
    </row>
    <row r="2" spans="2:10" ht="10.5" customHeight="1">
      <c r="B2" s="129"/>
      <c r="C2" s="130"/>
      <c r="D2" s="129"/>
      <c r="E2" s="131"/>
      <c r="F2" s="131"/>
      <c r="G2" s="131"/>
      <c r="H2" s="129"/>
      <c r="I2" s="129"/>
      <c r="J2" s="129"/>
    </row>
    <row r="3" spans="2:10" ht="30.75" customHeight="1">
      <c r="B3" s="1293" t="s">
        <v>126</v>
      </c>
      <c r="C3" s="1293"/>
      <c r="D3" s="1293"/>
      <c r="E3" s="1293"/>
      <c r="F3" s="1293"/>
      <c r="G3" s="1293"/>
      <c r="H3" s="1293"/>
      <c r="I3" s="1293"/>
      <c r="J3" s="1293"/>
    </row>
    <row r="4" spans="1:10" ht="12.75" customHeight="1">
      <c r="A4" s="118"/>
      <c r="B4" s="118"/>
      <c r="C4" s="118"/>
      <c r="D4" s="118"/>
      <c r="E4" s="118"/>
      <c r="F4" s="118"/>
      <c r="G4" s="118"/>
      <c r="H4" s="118"/>
      <c r="I4" s="118"/>
      <c r="J4" s="118"/>
    </row>
    <row r="5" spans="1:13" ht="19.5" customHeight="1">
      <c r="A5" s="74"/>
      <c r="B5" s="71"/>
      <c r="C5" s="95"/>
      <c r="D5" s="71"/>
      <c r="E5" s="71"/>
      <c r="F5" s="71"/>
      <c r="G5" s="71"/>
      <c r="H5" s="72"/>
      <c r="I5" s="1293" t="s">
        <v>1153</v>
      </c>
      <c r="J5" s="1293"/>
      <c r="K5" s="1289" t="s">
        <v>1152</v>
      </c>
      <c r="L5" s="1289"/>
      <c r="M5" s="1289"/>
    </row>
    <row r="6" spans="1:10" ht="9.75" customHeight="1">
      <c r="A6" s="74"/>
      <c r="B6" s="71"/>
      <c r="C6" s="74"/>
      <c r="D6" s="71"/>
      <c r="E6" s="71"/>
      <c r="F6" s="71"/>
      <c r="G6" s="71"/>
      <c r="H6" s="72"/>
      <c r="I6" s="73"/>
      <c r="J6" s="73"/>
    </row>
    <row r="7" spans="1:13" ht="33" customHeight="1">
      <c r="A7" s="1263" t="s">
        <v>1056</v>
      </c>
      <c r="B7" s="1263" t="s">
        <v>1057</v>
      </c>
      <c r="C7" s="1266" t="s">
        <v>1331</v>
      </c>
      <c r="D7" s="1263" t="s">
        <v>1058</v>
      </c>
      <c r="E7" s="1294" t="s">
        <v>1059</v>
      </c>
      <c r="F7" s="1294"/>
      <c r="G7" s="1294"/>
      <c r="H7" s="1294" t="s">
        <v>1292</v>
      </c>
      <c r="I7" s="1294"/>
      <c r="J7" s="1294"/>
      <c r="K7" s="1294" t="s">
        <v>1603</v>
      </c>
      <c r="L7" s="1294"/>
      <c r="M7" s="1294"/>
    </row>
    <row r="8" spans="1:13" s="62" customFormat="1" ht="17.25" customHeight="1">
      <c r="A8" s="1263"/>
      <c r="B8" s="1263"/>
      <c r="C8" s="1267"/>
      <c r="D8" s="1263"/>
      <c r="E8" s="30" t="s">
        <v>1329</v>
      </c>
      <c r="F8" s="30" t="s">
        <v>361</v>
      </c>
      <c r="G8" s="124" t="s">
        <v>1434</v>
      </c>
      <c r="H8" s="30" t="s">
        <v>1329</v>
      </c>
      <c r="I8" s="30" t="s">
        <v>361</v>
      </c>
      <c r="J8" s="124" t="s">
        <v>1434</v>
      </c>
      <c r="K8" s="6" t="s">
        <v>1329</v>
      </c>
      <c r="L8" s="6" t="s">
        <v>361</v>
      </c>
      <c r="M8" s="6" t="s">
        <v>1434</v>
      </c>
    </row>
    <row r="9" spans="1:13" s="62" customFormat="1" ht="15.75">
      <c r="A9" s="116">
        <v>1</v>
      </c>
      <c r="B9" s="116">
        <v>2</v>
      </c>
      <c r="C9" s="30">
        <v>3</v>
      </c>
      <c r="D9" s="116">
        <v>4</v>
      </c>
      <c r="E9" s="66">
        <v>5</v>
      </c>
      <c r="F9" s="66">
        <v>6</v>
      </c>
      <c r="G9" s="66">
        <v>7</v>
      </c>
      <c r="H9" s="66">
        <v>8</v>
      </c>
      <c r="I9" s="66">
        <v>9</v>
      </c>
      <c r="J9" s="66">
        <v>10</v>
      </c>
      <c r="K9" s="66">
        <v>11</v>
      </c>
      <c r="L9" s="66">
        <v>12</v>
      </c>
      <c r="M9" s="66">
        <v>13</v>
      </c>
    </row>
    <row r="10" spans="1:13" ht="18.75" customHeight="1">
      <c r="A10" s="3">
        <v>1</v>
      </c>
      <c r="B10" s="224" t="s">
        <v>1321</v>
      </c>
      <c r="C10" s="19">
        <v>7130800033</v>
      </c>
      <c r="D10" s="3" t="s">
        <v>1061</v>
      </c>
      <c r="E10" s="225">
        <v>10</v>
      </c>
      <c r="F10" s="4">
        <f>VLOOKUP(C10,'SOR RATE'!A:D,4,0)</f>
        <v>3129</v>
      </c>
      <c r="G10" s="4">
        <f>F10*E10</f>
        <v>31290</v>
      </c>
      <c r="H10" s="4"/>
      <c r="I10" s="4"/>
      <c r="J10" s="4"/>
      <c r="K10" s="985"/>
      <c r="L10" s="985"/>
      <c r="M10" s="985"/>
    </row>
    <row r="11" spans="1:13" ht="36" customHeight="1">
      <c r="A11" s="19">
        <v>2</v>
      </c>
      <c r="B11" s="224" t="s">
        <v>376</v>
      </c>
      <c r="C11" s="19">
        <v>7130601958</v>
      </c>
      <c r="D11" s="3" t="s">
        <v>1070</v>
      </c>
      <c r="E11" s="225"/>
      <c r="F11" s="4"/>
      <c r="G11" s="4"/>
      <c r="H11" s="225">
        <v>4823</v>
      </c>
      <c r="I11" s="936">
        <f>VLOOKUP(C11,'SOR RATE'!A:D,4,0)/1000</f>
        <v>44.989</v>
      </c>
      <c r="J11" s="4">
        <f>I11*H11</f>
        <v>216981.947</v>
      </c>
      <c r="K11" s="985"/>
      <c r="L11" s="985"/>
      <c r="M11" s="985"/>
    </row>
    <row r="12" spans="1:13" ht="36.75" customHeight="1">
      <c r="A12" s="19">
        <v>3</v>
      </c>
      <c r="B12" s="224" t="s">
        <v>1115</v>
      </c>
      <c r="C12" s="19">
        <v>7130601072</v>
      </c>
      <c r="D12" s="3" t="s">
        <v>1070</v>
      </c>
      <c r="E12" s="225"/>
      <c r="F12" s="4"/>
      <c r="G12" s="4"/>
      <c r="H12" s="225"/>
      <c r="I12" s="936"/>
      <c r="J12" s="4"/>
      <c r="K12" s="936"/>
      <c r="L12" s="936"/>
      <c r="M12" s="985"/>
    </row>
    <row r="13" spans="1:14" ht="20.25" customHeight="1">
      <c r="A13" s="19">
        <v>4</v>
      </c>
      <c r="B13" s="224" t="s">
        <v>1604</v>
      </c>
      <c r="C13" s="19"/>
      <c r="D13" s="3" t="s">
        <v>1061</v>
      </c>
      <c r="E13" s="225"/>
      <c r="F13" s="4"/>
      <c r="G13" s="4"/>
      <c r="H13" s="225"/>
      <c r="I13" s="936"/>
      <c r="J13" s="4"/>
      <c r="K13" s="986">
        <v>10</v>
      </c>
      <c r="L13" s="936">
        <v>5022</v>
      </c>
      <c r="M13" s="936">
        <f>K13*L13</f>
        <v>50220</v>
      </c>
      <c r="N13" s="904" t="s">
        <v>1605</v>
      </c>
    </row>
    <row r="14" spans="1:13" ht="18.75" customHeight="1">
      <c r="A14" s="19">
        <v>5</v>
      </c>
      <c r="B14" s="224" t="s">
        <v>811</v>
      </c>
      <c r="C14" s="19">
        <v>7130810595</v>
      </c>
      <c r="D14" s="3" t="s">
        <v>1061</v>
      </c>
      <c r="E14" s="225">
        <v>10</v>
      </c>
      <c r="F14" s="4">
        <f>VLOOKUP(C14,'SOR RATE'!A:D,4,0)</f>
        <v>2332</v>
      </c>
      <c r="G14" s="4">
        <f aca="true" t="shared" si="0" ref="G14:G27">F14*E14</f>
        <v>23320</v>
      </c>
      <c r="H14" s="225">
        <v>10</v>
      </c>
      <c r="I14" s="936">
        <f>VLOOKUP(C14,'SOR RATE'!A:D,4,0)</f>
        <v>2332</v>
      </c>
      <c r="J14" s="4">
        <f>I14*H14</f>
        <v>23320</v>
      </c>
      <c r="K14" s="986">
        <v>10</v>
      </c>
      <c r="L14" s="936">
        <f>VLOOKUP(C14,'SOR RATE'!A:D,4,0)</f>
        <v>2332</v>
      </c>
      <c r="M14" s="936">
        <f aca="true" t="shared" si="1" ref="M14:M55">K14*L14</f>
        <v>23320</v>
      </c>
    </row>
    <row r="15" spans="1:13" ht="15">
      <c r="A15" s="1259">
        <v>6</v>
      </c>
      <c r="B15" s="224" t="s">
        <v>1298</v>
      </c>
      <c r="C15" s="937"/>
      <c r="D15" s="937"/>
      <c r="E15" s="938"/>
      <c r="F15" s="938"/>
      <c r="G15" s="938"/>
      <c r="H15" s="938"/>
      <c r="I15" s="938"/>
      <c r="J15" s="939"/>
      <c r="K15" s="986"/>
      <c r="L15" s="936"/>
      <c r="M15" s="936"/>
    </row>
    <row r="16" spans="1:13" ht="15.75" customHeight="1">
      <c r="A16" s="1260"/>
      <c r="B16" s="224" t="s">
        <v>496</v>
      </c>
      <c r="C16" s="19">
        <v>7130810193</v>
      </c>
      <c r="D16" s="3" t="s">
        <v>1061</v>
      </c>
      <c r="E16" s="225">
        <v>10</v>
      </c>
      <c r="F16" s="4">
        <f>VLOOKUP(C16,'SOR RATE'!A:D,4,0)</f>
        <v>265</v>
      </c>
      <c r="G16" s="4">
        <f t="shared" si="0"/>
        <v>2650</v>
      </c>
      <c r="H16" s="225"/>
      <c r="I16" s="4"/>
      <c r="J16" s="4"/>
      <c r="K16" s="986">
        <v>10</v>
      </c>
      <c r="L16" s="936">
        <f>VLOOKUP(C16,'SOR RATE'!A:D,4,0)</f>
        <v>265</v>
      </c>
      <c r="M16" s="936">
        <f t="shared" si="1"/>
        <v>2650</v>
      </c>
    </row>
    <row r="17" spans="1:13" ht="15">
      <c r="A17" s="1260"/>
      <c r="B17" s="224" t="s">
        <v>1652</v>
      </c>
      <c r="C17" s="19">
        <v>7130810692</v>
      </c>
      <c r="D17" s="3" t="s">
        <v>1061</v>
      </c>
      <c r="E17" s="225"/>
      <c r="F17" s="4"/>
      <c r="G17" s="4"/>
      <c r="H17" s="225">
        <v>10</v>
      </c>
      <c r="I17" s="936">
        <f>VLOOKUP(C17,'SOR RATE'!A:D,4,0)</f>
        <v>294</v>
      </c>
      <c r="J17" s="4">
        <f>I17*H17</f>
        <v>2940</v>
      </c>
      <c r="K17" s="936"/>
      <c r="L17" s="936"/>
      <c r="M17" s="936"/>
    </row>
    <row r="18" spans="1:13" ht="15">
      <c r="A18" s="1260"/>
      <c r="B18" s="224" t="s">
        <v>1963</v>
      </c>
      <c r="C18" s="19">
        <v>7130810201</v>
      </c>
      <c r="D18" s="3" t="s">
        <v>1061</v>
      </c>
      <c r="E18" s="225"/>
      <c r="F18" s="4"/>
      <c r="G18" s="4"/>
      <c r="H18" s="225"/>
      <c r="I18" s="936"/>
      <c r="J18" s="4"/>
      <c r="K18" s="936"/>
      <c r="L18" s="936"/>
      <c r="M18" s="936"/>
    </row>
    <row r="19" spans="1:13" ht="19.5" customHeight="1">
      <c r="A19" s="1261"/>
      <c r="B19" s="224" t="s">
        <v>1964</v>
      </c>
      <c r="C19" s="19">
        <v>7130810251</v>
      </c>
      <c r="D19" s="3" t="s">
        <v>1061</v>
      </c>
      <c r="E19" s="225"/>
      <c r="F19" s="4"/>
      <c r="G19" s="4"/>
      <c r="H19" s="225"/>
      <c r="I19" s="936"/>
      <c r="J19" s="4"/>
      <c r="K19" s="936"/>
      <c r="L19" s="936"/>
      <c r="M19" s="936"/>
    </row>
    <row r="20" spans="1:13" ht="18" customHeight="1">
      <c r="A20" s="19">
        <v>7</v>
      </c>
      <c r="B20" s="224" t="s">
        <v>503</v>
      </c>
      <c r="C20" s="19">
        <v>7130810676</v>
      </c>
      <c r="D20" s="3" t="s">
        <v>1061</v>
      </c>
      <c r="E20" s="225">
        <v>10</v>
      </c>
      <c r="F20" s="4">
        <f>VLOOKUP(C20,'SOR RATE'!A:D,4,0)</f>
        <v>388</v>
      </c>
      <c r="G20" s="4">
        <f t="shared" si="0"/>
        <v>3880</v>
      </c>
      <c r="H20" s="225">
        <v>10</v>
      </c>
      <c r="I20" s="936">
        <f>VLOOKUP(C20,'SOR RATE'!A:D,4,0)</f>
        <v>388</v>
      </c>
      <c r="J20" s="4">
        <f aca="true" t="shared" si="2" ref="J20:J25">I20*H20</f>
        <v>3880</v>
      </c>
      <c r="K20" s="986">
        <v>10</v>
      </c>
      <c r="L20" s="936">
        <f>VLOOKUP(C20,'SOR RATE'!A:D,4,0)</f>
        <v>388</v>
      </c>
      <c r="M20" s="936">
        <f t="shared" si="1"/>
        <v>3880</v>
      </c>
    </row>
    <row r="21" spans="1:13" ht="34.5" customHeight="1">
      <c r="A21" s="19">
        <v>8</v>
      </c>
      <c r="B21" s="224" t="s">
        <v>1062</v>
      </c>
      <c r="C21" s="19">
        <v>7130870013</v>
      </c>
      <c r="D21" s="3" t="s">
        <v>1061</v>
      </c>
      <c r="E21" s="225">
        <v>10</v>
      </c>
      <c r="F21" s="4">
        <f>VLOOKUP(C21,'SOR RATE'!A:D,4,0)</f>
        <v>100</v>
      </c>
      <c r="G21" s="4">
        <f t="shared" si="0"/>
        <v>1000</v>
      </c>
      <c r="H21" s="225">
        <v>10</v>
      </c>
      <c r="I21" s="936">
        <f>VLOOKUP(C21,'SOR RATE'!A:D,4,0)</f>
        <v>100</v>
      </c>
      <c r="J21" s="4">
        <f t="shared" si="2"/>
        <v>1000</v>
      </c>
      <c r="K21" s="986">
        <v>10</v>
      </c>
      <c r="L21" s="936">
        <f>VLOOKUP(C21,'SOR RATE'!A:D,4,0)</f>
        <v>100</v>
      </c>
      <c r="M21" s="936">
        <f t="shared" si="1"/>
        <v>1000</v>
      </c>
    </row>
    <row r="22" spans="1:15" ht="21.75" customHeight="1">
      <c r="A22" s="19">
        <v>9</v>
      </c>
      <c r="B22" s="224" t="s">
        <v>1147</v>
      </c>
      <c r="C22" s="19">
        <v>7130820009</v>
      </c>
      <c r="D22" s="3" t="s">
        <v>1061</v>
      </c>
      <c r="E22" s="225">
        <v>30</v>
      </c>
      <c r="F22" s="4">
        <f>VLOOKUP(C22,'SOR RATE'!A:D,4,0)</f>
        <v>388</v>
      </c>
      <c r="G22" s="4">
        <f t="shared" si="0"/>
        <v>11640</v>
      </c>
      <c r="H22" s="225">
        <v>30</v>
      </c>
      <c r="I22" s="936">
        <f>VLOOKUP(C22,'SOR RATE'!A:D,4,0)</f>
        <v>388</v>
      </c>
      <c r="J22" s="4">
        <f t="shared" si="2"/>
        <v>11640</v>
      </c>
      <c r="K22" s="986">
        <v>30</v>
      </c>
      <c r="L22" s="936">
        <f>VLOOKUP(C22,'SOR RATE'!A:D,4,0)</f>
        <v>388</v>
      </c>
      <c r="M22" s="936">
        <f t="shared" si="1"/>
        <v>11640</v>
      </c>
      <c r="N22" s="697" t="s">
        <v>1986</v>
      </c>
      <c r="O22" s="98"/>
    </row>
    <row r="23" spans="1:13" ht="34.5" customHeight="1">
      <c r="A23" s="19">
        <v>10</v>
      </c>
      <c r="B23" s="224" t="s">
        <v>1328</v>
      </c>
      <c r="C23" s="19">
        <v>7130830063</v>
      </c>
      <c r="D23" s="3" t="s">
        <v>1322</v>
      </c>
      <c r="E23" s="225">
        <v>3100</v>
      </c>
      <c r="F23" s="4">
        <f>VLOOKUP(C23,'SOR RATE'!A:D,4,0)/1000</f>
        <v>64.842</v>
      </c>
      <c r="G23" s="4">
        <f>E23*F23</f>
        <v>201010.19999999998</v>
      </c>
      <c r="H23" s="225">
        <v>3100</v>
      </c>
      <c r="I23" s="936">
        <f>VLOOKUP(C23,'SOR RATE'!A:D,4,0)/1000</f>
        <v>64.842</v>
      </c>
      <c r="J23" s="4">
        <f t="shared" si="2"/>
        <v>201010.19999999998</v>
      </c>
      <c r="K23" s="986">
        <v>3100</v>
      </c>
      <c r="L23" s="936">
        <f>VLOOKUP(C23,'SOR RATE'!A:D,4,0)/1000</f>
        <v>64.842</v>
      </c>
      <c r="M23" s="936">
        <f t="shared" si="1"/>
        <v>201010.19999999998</v>
      </c>
    </row>
    <row r="24" spans="1:13" ht="33.75" customHeight="1">
      <c r="A24" s="19">
        <v>11</v>
      </c>
      <c r="B24" s="224" t="s">
        <v>429</v>
      </c>
      <c r="C24" s="19">
        <v>7130830051</v>
      </c>
      <c r="D24" s="3" t="s">
        <v>1061</v>
      </c>
      <c r="E24" s="225">
        <v>6</v>
      </c>
      <c r="F24" s="4">
        <f>VLOOKUP(C24,'SOR RATE'!A:D,4,0)</f>
        <v>126</v>
      </c>
      <c r="G24" s="4">
        <f t="shared" si="0"/>
        <v>756</v>
      </c>
      <c r="H24" s="225">
        <v>6</v>
      </c>
      <c r="I24" s="936">
        <f>VLOOKUP(C24,'SOR RATE'!A:D,4,0)</f>
        <v>126</v>
      </c>
      <c r="J24" s="4">
        <f t="shared" si="2"/>
        <v>756</v>
      </c>
      <c r="K24" s="986">
        <v>6</v>
      </c>
      <c r="L24" s="936">
        <f>VLOOKUP(C24,'SOR RATE'!A:D,4,0)</f>
        <v>126</v>
      </c>
      <c r="M24" s="936">
        <f t="shared" si="1"/>
        <v>756</v>
      </c>
    </row>
    <row r="25" spans="1:13" ht="18.75" customHeight="1">
      <c r="A25" s="19">
        <v>12</v>
      </c>
      <c r="B25" s="224" t="s">
        <v>1324</v>
      </c>
      <c r="C25" s="19">
        <v>7130860033</v>
      </c>
      <c r="D25" s="3" t="s">
        <v>1061</v>
      </c>
      <c r="E25" s="225">
        <v>3</v>
      </c>
      <c r="F25" s="4">
        <f>VLOOKUP(C25,'SOR RATE'!A:D,4,0)</f>
        <v>705</v>
      </c>
      <c r="G25" s="4">
        <f t="shared" si="0"/>
        <v>2115</v>
      </c>
      <c r="H25" s="225">
        <v>3</v>
      </c>
      <c r="I25" s="936">
        <f>VLOOKUP(C25,'SOR RATE'!A:D,4,0)</f>
        <v>705</v>
      </c>
      <c r="J25" s="4">
        <f t="shared" si="2"/>
        <v>2115</v>
      </c>
      <c r="K25" s="986">
        <v>3</v>
      </c>
      <c r="L25" s="936">
        <f>VLOOKUP(C25,'SOR RATE'!A:D,4,0)</f>
        <v>705</v>
      </c>
      <c r="M25" s="936">
        <f t="shared" si="1"/>
        <v>2115</v>
      </c>
    </row>
    <row r="26" spans="1:13" ht="18.75" customHeight="1">
      <c r="A26" s="1259">
        <v>13</v>
      </c>
      <c r="B26" s="224" t="s">
        <v>497</v>
      </c>
      <c r="C26" s="937"/>
      <c r="D26" s="937"/>
      <c r="E26" s="938"/>
      <c r="F26" s="938"/>
      <c r="G26" s="938"/>
      <c r="H26" s="938"/>
      <c r="I26" s="938"/>
      <c r="J26" s="939"/>
      <c r="K26" s="936"/>
      <c r="L26" s="936"/>
      <c r="M26" s="936"/>
    </row>
    <row r="27" spans="1:13" ht="18.75" customHeight="1">
      <c r="A27" s="1260"/>
      <c r="B27" s="224" t="s">
        <v>1958</v>
      </c>
      <c r="C27" s="19">
        <v>7130810193</v>
      </c>
      <c r="D27" s="3" t="s">
        <v>1061</v>
      </c>
      <c r="E27" s="225">
        <v>3</v>
      </c>
      <c r="F27" s="4">
        <f>VLOOKUP(C27,'SOR RATE'!A:D,4,0)</f>
        <v>265</v>
      </c>
      <c r="G27" s="4">
        <f t="shared" si="0"/>
        <v>795</v>
      </c>
      <c r="H27" s="225"/>
      <c r="I27" s="4"/>
      <c r="J27" s="4"/>
      <c r="K27" s="986">
        <v>3</v>
      </c>
      <c r="L27" s="936">
        <f>VLOOKUP(C27,'SOR RATE'!A:D,4,0)</f>
        <v>265</v>
      </c>
      <c r="M27" s="936">
        <f t="shared" si="1"/>
        <v>795</v>
      </c>
    </row>
    <row r="28" spans="1:13" ht="18.75" customHeight="1">
      <c r="A28" s="1260"/>
      <c r="B28" s="224" t="s">
        <v>436</v>
      </c>
      <c r="C28" s="19">
        <v>7130810692</v>
      </c>
      <c r="D28" s="3" t="s">
        <v>1061</v>
      </c>
      <c r="E28" s="4"/>
      <c r="F28" s="4"/>
      <c r="G28" s="4"/>
      <c r="H28" s="225">
        <v>3</v>
      </c>
      <c r="I28" s="936">
        <f>VLOOKUP(C28,'SOR RATE'!A:D,4,0)</f>
        <v>294</v>
      </c>
      <c r="J28" s="4">
        <f>I28*H28</f>
        <v>882</v>
      </c>
      <c r="K28" s="936"/>
      <c r="L28" s="936"/>
      <c r="M28" s="936"/>
    </row>
    <row r="29" spans="1:13" ht="18.75" customHeight="1">
      <c r="A29" s="1260"/>
      <c r="B29" s="224" t="s">
        <v>1963</v>
      </c>
      <c r="C29" s="19">
        <v>7130810201</v>
      </c>
      <c r="D29" s="3" t="s">
        <v>1061</v>
      </c>
      <c r="E29" s="4"/>
      <c r="F29" s="4"/>
      <c r="G29" s="4"/>
      <c r="H29" s="225"/>
      <c r="I29" s="936"/>
      <c r="J29" s="4"/>
      <c r="K29" s="936"/>
      <c r="L29" s="936"/>
      <c r="M29" s="936"/>
    </row>
    <row r="30" spans="1:13" ht="18.75" customHeight="1">
      <c r="A30" s="1261"/>
      <c r="B30" s="224" t="s">
        <v>1964</v>
      </c>
      <c r="C30" s="19">
        <v>7130810251</v>
      </c>
      <c r="D30" s="3" t="s">
        <v>1061</v>
      </c>
      <c r="E30" s="4"/>
      <c r="F30" s="4"/>
      <c r="G30" s="4"/>
      <c r="H30" s="225"/>
      <c r="I30" s="936"/>
      <c r="J30" s="4"/>
      <c r="K30" s="936"/>
      <c r="L30" s="936"/>
      <c r="M30" s="936"/>
    </row>
    <row r="31" spans="1:13" ht="21.75" customHeight="1">
      <c r="A31" s="19">
        <v>14</v>
      </c>
      <c r="B31" s="224" t="s">
        <v>1971</v>
      </c>
      <c r="C31" s="19">
        <v>7130860076</v>
      </c>
      <c r="D31" s="3" t="s">
        <v>1070</v>
      </c>
      <c r="E31" s="941">
        <v>25.5</v>
      </c>
      <c r="F31" s="4">
        <f>VLOOKUP(C31,'SOR RATE'!A:D,4,0)/1000</f>
        <v>61.002</v>
      </c>
      <c r="G31" s="4">
        <f>F31*E31</f>
        <v>1555.5510000000002</v>
      </c>
      <c r="H31" s="941">
        <v>25.5</v>
      </c>
      <c r="I31" s="936">
        <f>VLOOKUP(C31,'SOR RATE'!A:D,4,0)/1000</f>
        <v>61.002</v>
      </c>
      <c r="J31" s="4">
        <f>I31*H31</f>
        <v>1555.5510000000002</v>
      </c>
      <c r="K31" s="987">
        <v>25.5</v>
      </c>
      <c r="L31" s="936">
        <f>VLOOKUP(C31,'SOR RATE'!A:D,4,0)/1000</f>
        <v>61.002</v>
      </c>
      <c r="M31" s="936">
        <f t="shared" si="1"/>
        <v>1555.5510000000002</v>
      </c>
    </row>
    <row r="32" spans="1:13" ht="82.5" customHeight="1">
      <c r="A32" s="1259">
        <v>15</v>
      </c>
      <c r="B32" s="224" t="s">
        <v>575</v>
      </c>
      <c r="C32" s="19"/>
      <c r="D32" s="3" t="s">
        <v>1065</v>
      </c>
      <c r="E32" s="941">
        <v>1.4</v>
      </c>
      <c r="F32" s="4"/>
      <c r="G32" s="4"/>
      <c r="H32" s="941">
        <f>6.5+1.5</f>
        <v>8</v>
      </c>
      <c r="I32" s="4"/>
      <c r="J32" s="988"/>
      <c r="K32" s="941">
        <f>6.5+1.5</f>
        <v>8</v>
      </c>
      <c r="L32" s="936"/>
      <c r="M32" s="936"/>
    </row>
    <row r="33" spans="1:13" ht="19.5" customHeight="1">
      <c r="A33" s="1260"/>
      <c r="B33" s="224" t="s">
        <v>1956</v>
      </c>
      <c r="C33" s="19">
        <v>7130200401</v>
      </c>
      <c r="D33" s="3" t="s">
        <v>1070</v>
      </c>
      <c r="E33" s="225">
        <v>291</v>
      </c>
      <c r="F33" s="4">
        <f>VLOOKUP(C33,'SOR RATE'!A:D,4,0)/50</f>
        <v>5.36</v>
      </c>
      <c r="G33" s="4">
        <f aca="true" t="shared" si="3" ref="G33:G39">F33*E33</f>
        <v>1559.76</v>
      </c>
      <c r="H33" s="225">
        <f>6.5*208</f>
        <v>1352</v>
      </c>
      <c r="I33" s="936">
        <f>VLOOKUP(C33,'SOR RATE'!A:D,4,0)/50</f>
        <v>5.36</v>
      </c>
      <c r="J33" s="4">
        <f aca="true" t="shared" si="4" ref="J33:J39">I33*H33</f>
        <v>7246.72</v>
      </c>
      <c r="K33" s="225">
        <f>6.5*208</f>
        <v>1352</v>
      </c>
      <c r="L33" s="936">
        <f>VLOOKUP(C33,'SOR RATE'!A:D,4,0)/50</f>
        <v>5.36</v>
      </c>
      <c r="M33" s="936">
        <f t="shared" si="1"/>
        <v>7246.72</v>
      </c>
    </row>
    <row r="34" spans="1:13" ht="19.5" customHeight="1">
      <c r="A34" s="1261"/>
      <c r="B34" s="224" t="s">
        <v>1655</v>
      </c>
      <c r="C34" s="19">
        <v>7130200401</v>
      </c>
      <c r="D34" s="3" t="s">
        <v>1070</v>
      </c>
      <c r="E34" s="225">
        <f>1.5*208</f>
        <v>312</v>
      </c>
      <c r="F34" s="4">
        <f>VLOOKUP(C34,'SOR RATE'!A:D,4,0)/50</f>
        <v>5.36</v>
      </c>
      <c r="G34" s="4">
        <f t="shared" si="3"/>
        <v>1672.3200000000002</v>
      </c>
      <c r="H34" s="225">
        <f>1.5*208</f>
        <v>312</v>
      </c>
      <c r="I34" s="936">
        <f>VLOOKUP(C34,'SOR RATE'!A:D,4,0)/50</f>
        <v>5.36</v>
      </c>
      <c r="J34" s="4">
        <f t="shared" si="4"/>
        <v>1672.3200000000002</v>
      </c>
      <c r="K34" s="225">
        <f>1.5*208</f>
        <v>312</v>
      </c>
      <c r="L34" s="936">
        <f>VLOOKUP(C34,'SOR RATE'!A:D,4,0)/50</f>
        <v>5.36</v>
      </c>
      <c r="M34" s="936">
        <f t="shared" si="1"/>
        <v>1672.3200000000002</v>
      </c>
    </row>
    <row r="35" spans="1:13" ht="18.75" customHeight="1">
      <c r="A35" s="19">
        <v>16</v>
      </c>
      <c r="B35" s="224" t="s">
        <v>1066</v>
      </c>
      <c r="C35" s="19">
        <v>7130211158</v>
      </c>
      <c r="D35" s="3" t="s">
        <v>1067</v>
      </c>
      <c r="E35" s="941">
        <v>1.4</v>
      </c>
      <c r="F35" s="4">
        <f>VLOOKUP(C35,'SOR RATE'!A:D,4,0)</f>
        <v>130</v>
      </c>
      <c r="G35" s="4">
        <f t="shared" si="3"/>
        <v>182</v>
      </c>
      <c r="H35" s="225">
        <v>6</v>
      </c>
      <c r="I35" s="936">
        <f>VLOOKUP(C35,'SOR RATE'!A:D,4,0)</f>
        <v>130</v>
      </c>
      <c r="J35" s="4">
        <f t="shared" si="4"/>
        <v>780</v>
      </c>
      <c r="K35" s="987">
        <v>1.4</v>
      </c>
      <c r="L35" s="936">
        <f>VLOOKUP(C35,'SOR RATE'!A:D,4,0)</f>
        <v>130</v>
      </c>
      <c r="M35" s="936">
        <f t="shared" si="1"/>
        <v>182</v>
      </c>
    </row>
    <row r="36" spans="1:13" ht="18.75" customHeight="1">
      <c r="A36" s="19">
        <v>17</v>
      </c>
      <c r="B36" s="224" t="s">
        <v>1068</v>
      </c>
      <c r="C36" s="19">
        <v>7130210809</v>
      </c>
      <c r="D36" s="3" t="s">
        <v>1067</v>
      </c>
      <c r="E36" s="941">
        <v>1.5</v>
      </c>
      <c r="F36" s="4">
        <f>VLOOKUP(C36,'SOR RATE'!A:D,4,0)</f>
        <v>290</v>
      </c>
      <c r="G36" s="4">
        <f t="shared" si="3"/>
        <v>435</v>
      </c>
      <c r="H36" s="225">
        <v>6</v>
      </c>
      <c r="I36" s="936">
        <f>VLOOKUP(C36,'SOR RATE'!A:D,4,0)</f>
        <v>290</v>
      </c>
      <c r="J36" s="4">
        <f t="shared" si="4"/>
        <v>1740</v>
      </c>
      <c r="K36" s="987">
        <v>1.5</v>
      </c>
      <c r="L36" s="936">
        <f>VLOOKUP(C36,'SOR RATE'!A:D,4,0)</f>
        <v>290</v>
      </c>
      <c r="M36" s="936">
        <f t="shared" si="1"/>
        <v>435</v>
      </c>
    </row>
    <row r="37" spans="1:17" ht="18.75" customHeight="1">
      <c r="A37" s="19">
        <v>18</v>
      </c>
      <c r="B37" s="224" t="s">
        <v>430</v>
      </c>
      <c r="C37" s="19">
        <v>7130610206</v>
      </c>
      <c r="D37" s="3" t="s">
        <v>1070</v>
      </c>
      <c r="E37" s="225">
        <v>10</v>
      </c>
      <c r="F37" s="4">
        <f>VLOOKUP(C37,'SOR RATE'!A:D,4,0)/1000</f>
        <v>66.528</v>
      </c>
      <c r="G37" s="4">
        <f t="shared" si="3"/>
        <v>665.2800000000001</v>
      </c>
      <c r="H37" s="225">
        <v>10</v>
      </c>
      <c r="I37" s="936">
        <f>VLOOKUP(C37,'SOR RATE'!A:D,4,0)/1000</f>
        <v>66.528</v>
      </c>
      <c r="J37" s="4">
        <f t="shared" si="4"/>
        <v>665.2800000000001</v>
      </c>
      <c r="K37" s="986">
        <v>10</v>
      </c>
      <c r="L37" s="936">
        <f>VLOOKUP(C37,'SOR RATE'!A:D,4,0)/1000</f>
        <v>66.528</v>
      </c>
      <c r="M37" s="936">
        <f t="shared" si="1"/>
        <v>665.2800000000001</v>
      </c>
      <c r="O37" s="144"/>
      <c r="P37" s="144"/>
      <c r="Q37" s="144"/>
    </row>
    <row r="38" spans="1:13" ht="18.75" customHeight="1">
      <c r="A38" s="19">
        <v>19</v>
      </c>
      <c r="B38" s="224" t="s">
        <v>1069</v>
      </c>
      <c r="C38" s="19">
        <v>7130880041</v>
      </c>
      <c r="D38" s="3" t="s">
        <v>1061</v>
      </c>
      <c r="E38" s="225">
        <v>10</v>
      </c>
      <c r="F38" s="4">
        <f>VLOOKUP(C38,'SOR RATE'!A:D,4,0)</f>
        <v>74</v>
      </c>
      <c r="G38" s="4">
        <f t="shared" si="3"/>
        <v>740</v>
      </c>
      <c r="H38" s="225">
        <v>10</v>
      </c>
      <c r="I38" s="936">
        <f>VLOOKUP(C38,'SOR RATE'!A:D,4,0)</f>
        <v>74</v>
      </c>
      <c r="J38" s="4">
        <f t="shared" si="4"/>
        <v>740</v>
      </c>
      <c r="K38" s="986">
        <v>10</v>
      </c>
      <c r="L38" s="936">
        <f>VLOOKUP(C38,'SOR RATE'!A:D,4,0)</f>
        <v>74</v>
      </c>
      <c r="M38" s="936">
        <f t="shared" si="1"/>
        <v>740</v>
      </c>
    </row>
    <row r="39" spans="1:13" ht="18.75" customHeight="1">
      <c r="A39" s="19">
        <v>20</v>
      </c>
      <c r="B39" s="224" t="s">
        <v>990</v>
      </c>
      <c r="C39" s="19">
        <v>7130830006</v>
      </c>
      <c r="D39" s="3" t="s">
        <v>1070</v>
      </c>
      <c r="E39" s="941">
        <v>3.5</v>
      </c>
      <c r="F39" s="4">
        <f>VLOOKUP(C39,'SOR RATE'!A:D,4,0)</f>
        <v>139</v>
      </c>
      <c r="G39" s="4">
        <f t="shared" si="3"/>
        <v>486.5</v>
      </c>
      <c r="H39" s="941">
        <v>3.5</v>
      </c>
      <c r="I39" s="936">
        <f>VLOOKUP(C39,'SOR RATE'!A:D,4,0)</f>
        <v>139</v>
      </c>
      <c r="J39" s="4">
        <f t="shared" si="4"/>
        <v>486.5</v>
      </c>
      <c r="K39" s="987">
        <v>3.5</v>
      </c>
      <c r="L39" s="936">
        <f>VLOOKUP(C39,'SOR RATE'!A:D,4,0)</f>
        <v>139</v>
      </c>
      <c r="M39" s="936">
        <f t="shared" si="1"/>
        <v>486.5</v>
      </c>
    </row>
    <row r="40" spans="1:13" ht="15.75">
      <c r="A40" s="1259">
        <v>21</v>
      </c>
      <c r="B40" s="949" t="s">
        <v>1071</v>
      </c>
      <c r="C40" s="19"/>
      <c r="D40" s="3" t="s">
        <v>1070</v>
      </c>
      <c r="E40" s="225">
        <v>18</v>
      </c>
      <c r="F40" s="4"/>
      <c r="G40" s="4"/>
      <c r="H40" s="225">
        <v>18</v>
      </c>
      <c r="I40" s="4"/>
      <c r="J40" s="4"/>
      <c r="K40" s="986">
        <v>18</v>
      </c>
      <c r="L40" s="936"/>
      <c r="M40" s="936"/>
    </row>
    <row r="41" spans="1:13" ht="16.5" customHeight="1">
      <c r="A41" s="1297"/>
      <c r="B41" s="224" t="s">
        <v>1033</v>
      </c>
      <c r="C41" s="19">
        <v>7130620609</v>
      </c>
      <c r="D41" s="3" t="s">
        <v>1070</v>
      </c>
      <c r="E41" s="4"/>
      <c r="F41" s="4">
        <f>VLOOKUP(C41,'SOR RATE'!A:D,4,0)</f>
        <v>64</v>
      </c>
      <c r="G41" s="4"/>
      <c r="H41" s="941">
        <v>0.5</v>
      </c>
      <c r="I41" s="936">
        <f>VLOOKUP(C41,'SOR RATE'!A:D,4,0)</f>
        <v>64</v>
      </c>
      <c r="J41" s="4">
        <f>I41*H41</f>
        <v>32</v>
      </c>
      <c r="K41" s="936"/>
      <c r="L41" s="936">
        <f>VLOOKUP(C41,'SOR RATE'!A:D,4,0)</f>
        <v>64</v>
      </c>
      <c r="M41" s="936"/>
    </row>
    <row r="42" spans="1:13" ht="16.5" customHeight="1">
      <c r="A42" s="1297"/>
      <c r="B42" s="224" t="s">
        <v>1949</v>
      </c>
      <c r="C42" s="19">
        <v>7130620614</v>
      </c>
      <c r="D42" s="3" t="s">
        <v>1070</v>
      </c>
      <c r="E42" s="4"/>
      <c r="F42" s="4">
        <f>VLOOKUP(C42,'SOR RATE'!A:D,4,0)</f>
        <v>63</v>
      </c>
      <c r="G42" s="4"/>
      <c r="H42" s="941">
        <v>7.5</v>
      </c>
      <c r="I42" s="936">
        <f>VLOOKUP(C42,'SOR RATE'!A:D,4,0)</f>
        <v>63</v>
      </c>
      <c r="J42" s="4">
        <f>I42*H42</f>
        <v>472.5</v>
      </c>
      <c r="K42" s="936"/>
      <c r="L42" s="936">
        <f>VLOOKUP(C42,'SOR RATE'!A:D,4,0)</f>
        <v>63</v>
      </c>
      <c r="M42" s="936"/>
    </row>
    <row r="43" spans="1:13" ht="18" customHeight="1">
      <c r="A43" s="1297"/>
      <c r="B43" s="224" t="s">
        <v>1950</v>
      </c>
      <c r="C43" s="19">
        <v>7130620619</v>
      </c>
      <c r="D43" s="3" t="s">
        <v>1070</v>
      </c>
      <c r="E43" s="941">
        <v>3.5</v>
      </c>
      <c r="F43" s="4">
        <f>VLOOKUP(C43,'SOR RATE'!A:D,4,0)</f>
        <v>63</v>
      </c>
      <c r="G43" s="4">
        <f>F43*E43</f>
        <v>220.5</v>
      </c>
      <c r="H43" s="4"/>
      <c r="I43" s="936">
        <f>VLOOKUP(C43,'SOR RATE'!A:D,4,0)</f>
        <v>63</v>
      </c>
      <c r="J43" s="4"/>
      <c r="K43" s="987">
        <v>3.5</v>
      </c>
      <c r="L43" s="936">
        <f>VLOOKUP(C43,'SOR RATE'!A:D,4,0)</f>
        <v>63</v>
      </c>
      <c r="M43" s="936">
        <f t="shared" si="1"/>
        <v>220.5</v>
      </c>
    </row>
    <row r="44" spans="1:13" ht="16.5" customHeight="1">
      <c r="A44" s="1297"/>
      <c r="B44" s="224" t="s">
        <v>1951</v>
      </c>
      <c r="C44" s="19">
        <v>7130620625</v>
      </c>
      <c r="D44" s="3" t="s">
        <v>1070</v>
      </c>
      <c r="E44" s="4"/>
      <c r="F44" s="4">
        <f>VLOOKUP(C44,'SOR RATE'!A:D,4,0)</f>
        <v>62</v>
      </c>
      <c r="G44" s="4"/>
      <c r="H44" s="225">
        <v>10</v>
      </c>
      <c r="I44" s="936">
        <f>VLOOKUP(C44,'SOR RATE'!A:D,4,0)</f>
        <v>62</v>
      </c>
      <c r="J44" s="4">
        <f>I44*H44</f>
        <v>620</v>
      </c>
      <c r="K44" s="987"/>
      <c r="L44" s="936">
        <f>VLOOKUP(C44,'SOR RATE'!A:D,4,0)</f>
        <v>62</v>
      </c>
      <c r="M44" s="936"/>
    </row>
    <row r="45" spans="1:13" ht="18" customHeight="1">
      <c r="A45" s="1298"/>
      <c r="B45" s="224" t="s">
        <v>1952</v>
      </c>
      <c r="C45" s="19">
        <v>7130620627</v>
      </c>
      <c r="D45" s="3" t="s">
        <v>1070</v>
      </c>
      <c r="E45" s="941">
        <v>14.5</v>
      </c>
      <c r="F45" s="4">
        <f>VLOOKUP(C45,'SOR RATE'!A:D,4,0)</f>
        <v>62</v>
      </c>
      <c r="G45" s="4">
        <f>F45*E45</f>
        <v>899</v>
      </c>
      <c r="H45" s="4"/>
      <c r="I45" s="936">
        <f>VLOOKUP(C45,'SOR RATE'!A:D,4,0)</f>
        <v>62</v>
      </c>
      <c r="J45" s="945"/>
      <c r="K45" s="987">
        <v>14.5</v>
      </c>
      <c r="L45" s="936">
        <f>VLOOKUP(C45,'SOR RATE'!A:D,4,0)</f>
        <v>62</v>
      </c>
      <c r="M45" s="936">
        <f t="shared" si="1"/>
        <v>899</v>
      </c>
    </row>
    <row r="46" spans="1:13" ht="16.5" customHeight="1">
      <c r="A46" s="1259">
        <v>22</v>
      </c>
      <c r="B46" s="949" t="s">
        <v>1325</v>
      </c>
      <c r="C46" s="19"/>
      <c r="D46" s="3"/>
      <c r="E46" s="3"/>
      <c r="F46" s="6">
        <f>G47+G48+G49+G50+G51+G52+G53+G54+G55</f>
        <v>11086.42</v>
      </c>
      <c r="G46" s="989"/>
      <c r="H46" s="989"/>
      <c r="I46" s="6">
        <f>J47+J48+J49+J50+J51+J52+J53+J54+J55</f>
        <v>11086.42</v>
      </c>
      <c r="J46" s="990"/>
      <c r="K46" s="991"/>
      <c r="L46" s="6">
        <f>M47+M48+M49+M50+M51+M52+M53+M54+M55</f>
        <v>11086.42</v>
      </c>
      <c r="M46" s="936"/>
    </row>
    <row r="47" spans="1:13" ht="15.75" customHeight="1">
      <c r="A47" s="1297"/>
      <c r="B47" s="918" t="s">
        <v>506</v>
      </c>
      <c r="C47" s="19">
        <v>7130870045</v>
      </c>
      <c r="D47" s="3" t="s">
        <v>1070</v>
      </c>
      <c r="E47" s="19">
        <v>49</v>
      </c>
      <c r="F47" s="4">
        <f>VLOOKUP(C47,'SOR RATE'!A:D,4,0)/1000</f>
        <v>55.094</v>
      </c>
      <c r="G47" s="4">
        <f aca="true" t="shared" si="5" ref="G47:G55">F47*E47</f>
        <v>2699.606</v>
      </c>
      <c r="H47" s="19">
        <v>49</v>
      </c>
      <c r="I47" s="936">
        <f>VLOOKUP(C47,'SOR RATE'!A:D,4,0)/1000</f>
        <v>55.094</v>
      </c>
      <c r="J47" s="4">
        <f>I47*H47</f>
        <v>2699.606</v>
      </c>
      <c r="K47" s="19">
        <v>49</v>
      </c>
      <c r="L47" s="936">
        <f>VLOOKUP(C47,'SOR RATE'!A:D,4,0)/1000</f>
        <v>55.094</v>
      </c>
      <c r="M47" s="936">
        <f t="shared" si="1"/>
        <v>2699.606</v>
      </c>
    </row>
    <row r="48" spans="1:13" ht="15.75" customHeight="1">
      <c r="A48" s="1297"/>
      <c r="B48" s="918" t="s">
        <v>507</v>
      </c>
      <c r="C48" s="19">
        <v>7130870043</v>
      </c>
      <c r="D48" s="3" t="s">
        <v>1070</v>
      </c>
      <c r="E48" s="19">
        <v>20</v>
      </c>
      <c r="F48" s="4">
        <f>VLOOKUP(C48,'SOR RATE'!A:D,4,0)/1000</f>
        <v>55.094</v>
      </c>
      <c r="G48" s="4">
        <f t="shared" si="5"/>
        <v>1101.88</v>
      </c>
      <c r="H48" s="19">
        <v>20</v>
      </c>
      <c r="I48" s="936">
        <f>VLOOKUP(C48,'SOR RATE'!A:D,4,0)/1000</f>
        <v>55.094</v>
      </c>
      <c r="J48" s="4">
        <f aca="true" t="shared" si="6" ref="J48:J55">I48*H48</f>
        <v>1101.88</v>
      </c>
      <c r="K48" s="19">
        <v>20</v>
      </c>
      <c r="L48" s="936">
        <f>VLOOKUP(C48,'SOR RATE'!A:D,4,0)/1000</f>
        <v>55.094</v>
      </c>
      <c r="M48" s="936">
        <f t="shared" si="1"/>
        <v>1101.88</v>
      </c>
    </row>
    <row r="49" spans="1:13" ht="17.25" customHeight="1">
      <c r="A49" s="1297"/>
      <c r="B49" s="918" t="s">
        <v>1972</v>
      </c>
      <c r="C49" s="19">
        <v>7130897759</v>
      </c>
      <c r="D49" s="3" t="s">
        <v>1061</v>
      </c>
      <c r="E49" s="19">
        <v>1</v>
      </c>
      <c r="F49" s="4">
        <f>VLOOKUP(C49,'SOR RATE'!A:D,4,0)</f>
        <v>3315</v>
      </c>
      <c r="G49" s="4">
        <f>F49*E49</f>
        <v>3315</v>
      </c>
      <c r="H49" s="19">
        <v>1</v>
      </c>
      <c r="I49" s="936">
        <f>VLOOKUP(C49,'SOR RATE'!A:D,4,0)</f>
        <v>3315</v>
      </c>
      <c r="J49" s="4">
        <f t="shared" si="6"/>
        <v>3315</v>
      </c>
      <c r="K49" s="19">
        <v>1</v>
      </c>
      <c r="L49" s="936">
        <f>VLOOKUP(C49,'SOR RATE'!A:D,4,0)</f>
        <v>3315</v>
      </c>
      <c r="M49" s="936">
        <f t="shared" si="1"/>
        <v>3315</v>
      </c>
    </row>
    <row r="50" spans="1:13" ht="17.25" customHeight="1">
      <c r="A50" s="1297"/>
      <c r="B50" s="918" t="s">
        <v>508</v>
      </c>
      <c r="C50" s="19">
        <v>7130810692</v>
      </c>
      <c r="D50" s="3" t="s">
        <v>1061</v>
      </c>
      <c r="E50" s="19">
        <v>3</v>
      </c>
      <c r="F50" s="4">
        <f>VLOOKUP(C50,'SOR RATE'!A:D,4,0)</f>
        <v>294</v>
      </c>
      <c r="G50" s="4">
        <f t="shared" si="5"/>
        <v>882</v>
      </c>
      <c r="H50" s="19">
        <v>3</v>
      </c>
      <c r="I50" s="936">
        <f>VLOOKUP(C50,'SOR RATE'!A:D,4,0)</f>
        <v>294</v>
      </c>
      <c r="J50" s="4">
        <f t="shared" si="6"/>
        <v>882</v>
      </c>
      <c r="K50" s="19">
        <v>3</v>
      </c>
      <c r="L50" s="936">
        <f>VLOOKUP(C50,'SOR RATE'!A:D,4,0)</f>
        <v>294</v>
      </c>
      <c r="M50" s="936">
        <f t="shared" si="1"/>
        <v>882</v>
      </c>
    </row>
    <row r="51" spans="1:13" ht="18" customHeight="1">
      <c r="A51" s="1297"/>
      <c r="B51" s="918" t="s">
        <v>509</v>
      </c>
      <c r="C51" s="19">
        <v>7130620625</v>
      </c>
      <c r="D51" s="3" t="s">
        <v>1330</v>
      </c>
      <c r="E51" s="941">
        <v>1.2</v>
      </c>
      <c r="F51" s="4">
        <f>VLOOKUP(C51,'SOR RATE'!A:D,4,0)</f>
        <v>62</v>
      </c>
      <c r="G51" s="4">
        <f t="shared" si="5"/>
        <v>74.39999999999999</v>
      </c>
      <c r="H51" s="941">
        <v>1.2</v>
      </c>
      <c r="I51" s="936">
        <f>VLOOKUP(C51,'SOR RATE'!A:D,4,0)</f>
        <v>62</v>
      </c>
      <c r="J51" s="4">
        <f t="shared" si="6"/>
        <v>74.39999999999999</v>
      </c>
      <c r="K51" s="941">
        <v>1.2</v>
      </c>
      <c r="L51" s="936">
        <f>VLOOKUP(C51,'SOR RATE'!A:D,4,0)</f>
        <v>62</v>
      </c>
      <c r="M51" s="936">
        <f t="shared" si="1"/>
        <v>74.39999999999999</v>
      </c>
    </row>
    <row r="52" spans="1:13" ht="18" customHeight="1">
      <c r="A52" s="1297"/>
      <c r="B52" s="918" t="s">
        <v>377</v>
      </c>
      <c r="C52" s="19">
        <v>7130620013</v>
      </c>
      <c r="D52" s="3" t="s">
        <v>1061</v>
      </c>
      <c r="E52" s="19">
        <v>4</v>
      </c>
      <c r="F52" s="4">
        <f>VLOOKUP(C52,'SOR RATE'!A:D,4,0)</f>
        <v>118</v>
      </c>
      <c r="G52" s="4">
        <f t="shared" si="5"/>
        <v>472</v>
      </c>
      <c r="H52" s="19">
        <v>4</v>
      </c>
      <c r="I52" s="936">
        <f>VLOOKUP(C52,'SOR RATE'!A:D,4,0)</f>
        <v>118</v>
      </c>
      <c r="J52" s="4">
        <f t="shared" si="6"/>
        <v>472</v>
      </c>
      <c r="K52" s="19">
        <v>4</v>
      </c>
      <c r="L52" s="936">
        <f>VLOOKUP(C52,'SOR RATE'!A:D,4,0)</f>
        <v>118</v>
      </c>
      <c r="M52" s="936">
        <f t="shared" si="1"/>
        <v>472</v>
      </c>
    </row>
    <row r="53" spans="1:13" ht="17.25" customHeight="1">
      <c r="A53" s="1297"/>
      <c r="B53" s="918" t="s">
        <v>500</v>
      </c>
      <c r="C53" s="19">
        <v>7130860033</v>
      </c>
      <c r="D53" s="3" t="s">
        <v>1061</v>
      </c>
      <c r="E53" s="19">
        <v>2</v>
      </c>
      <c r="F53" s="4">
        <f>VLOOKUP(C53,'SOR RATE'!A:D,4,0)</f>
        <v>705</v>
      </c>
      <c r="G53" s="4">
        <f t="shared" si="5"/>
        <v>1410</v>
      </c>
      <c r="H53" s="19">
        <v>2</v>
      </c>
      <c r="I53" s="936">
        <f>VLOOKUP(C53,'SOR RATE'!A:D,4,0)</f>
        <v>705</v>
      </c>
      <c r="J53" s="4">
        <f t="shared" si="6"/>
        <v>1410</v>
      </c>
      <c r="K53" s="19">
        <v>2</v>
      </c>
      <c r="L53" s="936">
        <f>VLOOKUP(C53,'SOR RATE'!A:D,4,0)</f>
        <v>705</v>
      </c>
      <c r="M53" s="936">
        <f t="shared" si="1"/>
        <v>1410</v>
      </c>
    </row>
    <row r="54" spans="1:13" ht="20.25" customHeight="1">
      <c r="A54" s="1297"/>
      <c r="B54" s="918" t="s">
        <v>1973</v>
      </c>
      <c r="C54" s="19">
        <v>7130860076</v>
      </c>
      <c r="D54" s="3" t="s">
        <v>1070</v>
      </c>
      <c r="E54" s="19">
        <v>17</v>
      </c>
      <c r="F54" s="4">
        <f>VLOOKUP(C54,'SOR RATE'!A:D,4,0)/1000</f>
        <v>61.002</v>
      </c>
      <c r="G54" s="4">
        <f t="shared" si="5"/>
        <v>1037.034</v>
      </c>
      <c r="H54" s="19">
        <v>17</v>
      </c>
      <c r="I54" s="936">
        <f>VLOOKUP(C54,'SOR RATE'!A:D,4,0)/1000</f>
        <v>61.002</v>
      </c>
      <c r="J54" s="4">
        <f t="shared" si="6"/>
        <v>1037.034</v>
      </c>
      <c r="K54" s="19">
        <v>17</v>
      </c>
      <c r="L54" s="936">
        <f>VLOOKUP(C54,'SOR RATE'!A:D,4,0)/1000</f>
        <v>61.002</v>
      </c>
      <c r="M54" s="936">
        <f t="shared" si="1"/>
        <v>1037.034</v>
      </c>
    </row>
    <row r="55" spans="1:13" ht="18" customHeight="1">
      <c r="A55" s="1298"/>
      <c r="B55" s="918" t="s">
        <v>1953</v>
      </c>
      <c r="C55" s="19">
        <v>7130620619</v>
      </c>
      <c r="D55" s="3" t="s">
        <v>1070</v>
      </c>
      <c r="E55" s="19">
        <v>1.5</v>
      </c>
      <c r="F55" s="4">
        <f>VLOOKUP(C55,'SOR RATE'!A:D,4,0)</f>
        <v>63</v>
      </c>
      <c r="G55" s="4">
        <f t="shared" si="5"/>
        <v>94.5</v>
      </c>
      <c r="H55" s="19">
        <v>1.5</v>
      </c>
      <c r="I55" s="936">
        <f>VLOOKUP(C55,'SOR RATE'!A:D,4,0)</f>
        <v>63</v>
      </c>
      <c r="J55" s="4">
        <f t="shared" si="6"/>
        <v>94.5</v>
      </c>
      <c r="K55" s="19">
        <v>1.5</v>
      </c>
      <c r="L55" s="936">
        <f>VLOOKUP(C55,'SOR RATE'!A:D,4,0)</f>
        <v>63</v>
      </c>
      <c r="M55" s="936">
        <f t="shared" si="1"/>
        <v>94.5</v>
      </c>
    </row>
    <row r="56" spans="1:13" s="122" customFormat="1" ht="15.75">
      <c r="A56" s="116">
        <v>23</v>
      </c>
      <c r="B56" s="946" t="s">
        <v>771</v>
      </c>
      <c r="C56" s="992"/>
      <c r="D56" s="992"/>
      <c r="E56" s="6"/>
      <c r="F56" s="6"/>
      <c r="G56" s="6">
        <f>SUM(G10:G55)</f>
        <v>297958.531</v>
      </c>
      <c r="H56" s="19"/>
      <c r="I56" s="4"/>
      <c r="J56" s="6">
        <f>SUM(J10:J55)</f>
        <v>491622.438</v>
      </c>
      <c r="K56" s="6"/>
      <c r="L56" s="6"/>
      <c r="M56" s="6">
        <f>SUM(M10:M55)</f>
        <v>322575.491</v>
      </c>
    </row>
    <row r="57" spans="1:13" ht="18" customHeight="1">
      <c r="A57" s="19">
        <v>24</v>
      </c>
      <c r="B57" s="224" t="s">
        <v>770</v>
      </c>
      <c r="C57" s="993"/>
      <c r="D57" s="993"/>
      <c r="E57" s="994"/>
      <c r="F57" s="995">
        <v>0.09</v>
      </c>
      <c r="G57" s="996">
        <f>G56*F57</f>
        <v>26816.26779</v>
      </c>
      <c r="H57" s="997"/>
      <c r="I57" s="996">
        <v>0.09</v>
      </c>
      <c r="J57" s="996">
        <f>J56*I57</f>
        <v>44246.01942</v>
      </c>
      <c r="K57" s="996"/>
      <c r="L57" s="996">
        <v>0.09</v>
      </c>
      <c r="M57" s="996">
        <f>M56*L57</f>
        <v>29031.794189999997</v>
      </c>
    </row>
    <row r="58" spans="1:13" ht="30.75" customHeight="1">
      <c r="A58" s="19">
        <v>25</v>
      </c>
      <c r="B58" s="224" t="s">
        <v>1334</v>
      </c>
      <c r="C58" s="995"/>
      <c r="D58" s="3" t="s">
        <v>1065</v>
      </c>
      <c r="E58" s="941">
        <v>1.4</v>
      </c>
      <c r="F58" s="4">
        <f>1664*1.27*1.0891*1.086275*1.1112*1.0685</f>
        <v>2968.460981603261</v>
      </c>
      <c r="G58" s="4">
        <f>F58*E58</f>
        <v>4155.845374244565</v>
      </c>
      <c r="H58" s="998">
        <v>8</v>
      </c>
      <c r="I58" s="4">
        <f>1664*1.27*1.0891*1.086275*1.1112*1.0685</f>
        <v>2968.460981603261</v>
      </c>
      <c r="J58" s="943">
        <f>I58*H58</f>
        <v>23747.68785282609</v>
      </c>
      <c r="K58" s="225">
        <v>8</v>
      </c>
      <c r="L58" s="4">
        <f>1664*1.27*1.0891*1.086275*1.1112*1.0685</f>
        <v>2968.460981603261</v>
      </c>
      <c r="M58" s="4">
        <f>K58*L58</f>
        <v>23747.68785282609</v>
      </c>
    </row>
    <row r="59" spans="1:13" ht="33" customHeight="1">
      <c r="A59" s="19">
        <v>26</v>
      </c>
      <c r="B59" s="224" t="s">
        <v>1332</v>
      </c>
      <c r="C59" s="995"/>
      <c r="D59" s="999"/>
      <c r="E59" s="4"/>
      <c r="F59" s="4"/>
      <c r="G59" s="4">
        <v>32540.83</v>
      </c>
      <c r="H59" s="4" t="s">
        <v>1064</v>
      </c>
      <c r="I59" s="226" t="s">
        <v>1064</v>
      </c>
      <c r="J59" s="226">
        <v>37867.15</v>
      </c>
      <c r="K59" s="985"/>
      <c r="L59" s="985"/>
      <c r="M59" s="226">
        <v>35180.92</v>
      </c>
    </row>
    <row r="60" spans="1:13" ht="66" customHeight="1">
      <c r="A60" s="19">
        <v>27</v>
      </c>
      <c r="B60" s="224" t="s">
        <v>1074</v>
      </c>
      <c r="C60" s="995"/>
      <c r="D60" s="5"/>
      <c r="E60" s="4"/>
      <c r="F60" s="4"/>
      <c r="G60" s="4">
        <f>1.1*1.1*7212*1.2*1.1*1.1797*1.1402*0.9368</f>
        <v>14514.915695002472</v>
      </c>
      <c r="H60" s="4"/>
      <c r="I60" s="4"/>
      <c r="J60" s="4">
        <f>+G60</f>
        <v>14514.915695002472</v>
      </c>
      <c r="K60" s="985"/>
      <c r="L60" s="985"/>
      <c r="M60" s="4">
        <f>1.1*1.1*7212*1.2*1.1*1.1797*1.1402*0.9368</f>
        <v>14514.915695002472</v>
      </c>
    </row>
    <row r="61" spans="1:13" ht="18.75" customHeight="1">
      <c r="A61" s="116">
        <v>28</v>
      </c>
      <c r="B61" s="946" t="s">
        <v>772</v>
      </c>
      <c r="C61" s="995"/>
      <c r="D61" s="5"/>
      <c r="E61" s="4"/>
      <c r="F61" s="4"/>
      <c r="G61" s="6">
        <f>G56+G57+G58+G59+G60</f>
        <v>375986.3898592471</v>
      </c>
      <c r="H61" s="6"/>
      <c r="I61" s="6"/>
      <c r="J61" s="6">
        <f>J56+J57+J58+J59+J60</f>
        <v>611998.2109678285</v>
      </c>
      <c r="K61" s="6"/>
      <c r="L61" s="6"/>
      <c r="M61" s="6">
        <f>M56+M57+M58+M59+M60</f>
        <v>425050.8087378285</v>
      </c>
    </row>
    <row r="62" spans="1:13" ht="50.25" customHeight="1">
      <c r="A62" s="19">
        <v>29</v>
      </c>
      <c r="B62" s="224" t="s">
        <v>773</v>
      </c>
      <c r="C62" s="995"/>
      <c r="D62" s="5"/>
      <c r="E62" s="4"/>
      <c r="F62" s="4">
        <v>0.11</v>
      </c>
      <c r="G62" s="4">
        <f>G56*F62</f>
        <v>32775.43841</v>
      </c>
      <c r="H62" s="4"/>
      <c r="I62" s="4">
        <v>0.11</v>
      </c>
      <c r="J62" s="4">
        <f>J56*I62</f>
        <v>54078.46818</v>
      </c>
      <c r="K62" s="4"/>
      <c r="L62" s="4">
        <v>0.11</v>
      </c>
      <c r="M62" s="4">
        <f>M56*L62</f>
        <v>35483.30401</v>
      </c>
    </row>
    <row r="63" spans="1:13" ht="33" customHeight="1">
      <c r="A63" s="19">
        <v>30</v>
      </c>
      <c r="B63" s="224" t="s">
        <v>501</v>
      </c>
      <c r="C63" s="995"/>
      <c r="D63" s="5"/>
      <c r="E63" s="4"/>
      <c r="F63" s="4"/>
      <c r="G63" s="4">
        <f>G61+G62</f>
        <v>408761.8282692471</v>
      </c>
      <c r="H63" s="6"/>
      <c r="I63" s="6"/>
      <c r="J63" s="4">
        <f>J61+J62</f>
        <v>666076.6791478285</v>
      </c>
      <c r="K63" s="4"/>
      <c r="L63" s="4"/>
      <c r="M63" s="4">
        <f>M61+M62</f>
        <v>460534.11274782853</v>
      </c>
    </row>
    <row r="64" spans="1:13" s="62" customFormat="1" ht="36.75" customHeight="1">
      <c r="A64" s="116">
        <v>31</v>
      </c>
      <c r="B64" s="949" t="s">
        <v>502</v>
      </c>
      <c r="C64" s="992"/>
      <c r="D64" s="1000"/>
      <c r="E64" s="6"/>
      <c r="F64" s="6"/>
      <c r="G64" s="6">
        <f>ROUND(G63,0)</f>
        <v>408762</v>
      </c>
      <c r="H64" s="4"/>
      <c r="I64" s="4"/>
      <c r="J64" s="6">
        <f>ROUND(J63,0)</f>
        <v>666077</v>
      </c>
      <c r="K64" s="6"/>
      <c r="L64" s="6"/>
      <c r="M64" s="6">
        <f>ROUND(M63,0)</f>
        <v>460534</v>
      </c>
    </row>
    <row r="65" spans="1:10" ht="15.75">
      <c r="A65" s="8"/>
      <c r="B65" s="7"/>
      <c r="C65" s="75"/>
      <c r="D65" s="8"/>
      <c r="E65" s="9"/>
      <c r="F65" s="9"/>
      <c r="G65" s="10"/>
      <c r="H65" s="53"/>
      <c r="I65" s="53"/>
      <c r="J65" s="53"/>
    </row>
    <row r="66" spans="1:10" ht="15" customHeight="1">
      <c r="A66" s="1295" t="s">
        <v>1075</v>
      </c>
      <c r="B66" s="1295"/>
      <c r="C66" s="1295"/>
      <c r="D66" s="1295"/>
      <c r="E66" s="1295"/>
      <c r="F66" s="1295"/>
      <c r="G66" s="1295"/>
      <c r="H66" s="54"/>
      <c r="I66" s="54"/>
      <c r="J66" s="54"/>
    </row>
    <row r="67" spans="1:10" ht="19.5" customHeight="1">
      <c r="A67" s="5">
        <v>1</v>
      </c>
      <c r="B67" s="1296" t="s">
        <v>434</v>
      </c>
      <c r="C67" s="1296"/>
      <c r="D67" s="1296"/>
      <c r="E67" s="1296"/>
      <c r="F67" s="1296"/>
      <c r="G67" s="1296"/>
      <c r="H67" s="53"/>
      <c r="I67" s="53"/>
      <c r="J67" s="53"/>
    </row>
    <row r="68" spans="1:10" ht="17.25" customHeight="1">
      <c r="A68" s="5">
        <v>2</v>
      </c>
      <c r="B68" s="1296" t="s">
        <v>1076</v>
      </c>
      <c r="C68" s="1296"/>
      <c r="D68" s="1296"/>
      <c r="E68" s="1296"/>
      <c r="F68" s="1296"/>
      <c r="G68" s="1296"/>
      <c r="H68" s="55"/>
      <c r="I68" s="55"/>
      <c r="J68" s="55"/>
    </row>
    <row r="97" spans="2:3" ht="18">
      <c r="B97" s="1264" t="s">
        <v>1146</v>
      </c>
      <c r="C97" s="1264"/>
    </row>
    <row r="98" spans="1:3" ht="30">
      <c r="A98" s="11" t="s">
        <v>1116</v>
      </c>
      <c r="B98" s="224" t="s">
        <v>574</v>
      </c>
      <c r="C98" s="19">
        <v>7130820158</v>
      </c>
    </row>
  </sheetData>
  <sheetProtection/>
  <mergeCells count="20">
    <mergeCell ref="B97:C97"/>
    <mergeCell ref="A26:A30"/>
    <mergeCell ref="A7:A8"/>
    <mergeCell ref="B7:B8"/>
    <mergeCell ref="B68:G68"/>
    <mergeCell ref="K7:M7"/>
    <mergeCell ref="K5:M5"/>
    <mergeCell ref="C1:F1"/>
    <mergeCell ref="A32:A34"/>
    <mergeCell ref="D7:D8"/>
    <mergeCell ref="E7:G7"/>
    <mergeCell ref="A15:A19"/>
    <mergeCell ref="B3:J3"/>
    <mergeCell ref="I5:J5"/>
    <mergeCell ref="C7:C8"/>
    <mergeCell ref="H7:J7"/>
    <mergeCell ref="A66:G66"/>
    <mergeCell ref="B67:G67"/>
    <mergeCell ref="A40:A45"/>
    <mergeCell ref="A46:A55"/>
  </mergeCells>
  <printOptions gridLines="1" horizontalCentered="1"/>
  <pageMargins left="0.84" right="0.16" top="0.69" bottom="0.28" header="0.51" footer="0.19"/>
  <pageSetup fitToHeight="3" horizontalDpi="300" verticalDpi="300" orientation="landscape" paperSize="9" scale="87" r:id="rId1"/>
  <rowBreaks count="4" manualBreakCount="4">
    <brk id="26" max="16" man="1"/>
    <brk id="51" max="16" man="1"/>
    <brk id="78" max="16" man="1"/>
    <brk id="82" max="255" man="1"/>
  </rowBreaks>
  <ignoredErrors>
    <ignoredError sqref="G23 I46" formula="1"/>
  </ignoredErrors>
</worksheet>
</file>

<file path=xl/worksheets/sheet7.xml><?xml version="1.0" encoding="utf-8"?>
<worksheet xmlns="http://schemas.openxmlformats.org/spreadsheetml/2006/main" xmlns:r="http://schemas.openxmlformats.org/officeDocument/2006/relationships">
  <sheetPr>
    <tabColor indexed="11"/>
  </sheetPr>
  <dimension ref="A1:L57"/>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140625" defaultRowHeight="12.75"/>
  <cols>
    <col min="1" max="1" width="5.7109375" style="79" customWidth="1"/>
    <col min="2" max="2" width="40.421875" style="2" customWidth="1"/>
    <col min="3" max="3" width="13.57421875" style="2" customWidth="1"/>
    <col min="4" max="4" width="8.7109375" style="2" customWidth="1"/>
    <col min="5" max="5" width="6.7109375" style="2" bestFit="1" customWidth="1"/>
    <col min="6" max="6" width="10.28125" style="2" customWidth="1"/>
    <col min="7" max="7" width="13.140625" style="2" bestFit="1" customWidth="1"/>
    <col min="8" max="8" width="12.00390625" style="2" bestFit="1" customWidth="1"/>
    <col min="9" max="9" width="13.8515625" style="2" customWidth="1"/>
    <col min="10" max="10" width="14.421875" style="2" customWidth="1"/>
    <col min="11" max="11" width="11.8515625" style="2" customWidth="1"/>
    <col min="12" max="16384" width="9.140625" style="2" customWidth="1"/>
  </cols>
  <sheetData>
    <row r="1" spans="2:12" ht="18" customHeight="1">
      <c r="B1" s="1302" t="s">
        <v>1924</v>
      </c>
      <c r="C1" s="1302"/>
      <c r="D1" s="1302"/>
      <c r="E1" s="1302"/>
      <c r="F1" s="51"/>
      <c r="G1" s="51"/>
      <c r="H1" s="133"/>
      <c r="I1" s="49"/>
      <c r="J1" s="49"/>
      <c r="K1" s="49"/>
      <c r="L1" s="49"/>
    </row>
    <row r="2" spans="1:12" ht="18">
      <c r="A2" s="52"/>
      <c r="B2" s="52"/>
      <c r="C2" s="52"/>
      <c r="D2" s="52"/>
      <c r="E2" s="52"/>
      <c r="F2" s="52"/>
      <c r="G2" s="905" t="s">
        <v>1153</v>
      </c>
      <c r="H2" s="133"/>
      <c r="I2" s="49"/>
      <c r="J2" s="49"/>
      <c r="K2" s="49"/>
      <c r="L2" s="49"/>
    </row>
    <row r="3" spans="2:12" ht="32.25" customHeight="1">
      <c r="B3" s="1303" t="s">
        <v>815</v>
      </c>
      <c r="C3" s="1303"/>
      <c r="D3" s="1303"/>
      <c r="E3" s="1303"/>
      <c r="F3" s="1303"/>
      <c r="G3" s="47"/>
      <c r="H3" s="47"/>
      <c r="I3" s="49"/>
      <c r="J3" s="49"/>
      <c r="K3" s="49"/>
      <c r="L3" s="49"/>
    </row>
    <row r="4" spans="1:12" ht="15">
      <c r="A4" s="48"/>
      <c r="B4" s="48"/>
      <c r="C4" s="48"/>
      <c r="D4" s="48"/>
      <c r="E4" s="48"/>
      <c r="F4" s="48"/>
      <c r="G4" s="48"/>
      <c r="H4" s="47"/>
      <c r="I4" s="49"/>
      <c r="J4" s="49"/>
      <c r="K4" s="49"/>
      <c r="L4" s="49"/>
    </row>
    <row r="5" spans="1:12" ht="30">
      <c r="A5" s="135" t="s">
        <v>1900</v>
      </c>
      <c r="B5" s="46" t="s">
        <v>1901</v>
      </c>
      <c r="C5" s="223" t="s">
        <v>1331</v>
      </c>
      <c r="D5" s="135" t="s">
        <v>1058</v>
      </c>
      <c r="E5" s="135" t="s">
        <v>1329</v>
      </c>
      <c r="F5" s="46" t="s">
        <v>1576</v>
      </c>
      <c r="G5" s="135" t="s">
        <v>1575</v>
      </c>
      <c r="H5" s="49"/>
      <c r="I5" s="49"/>
      <c r="J5" s="49"/>
      <c r="K5" s="49"/>
      <c r="L5" s="49"/>
    </row>
    <row r="6" spans="1:12" ht="15.75">
      <c r="A6" s="135">
        <v>1</v>
      </c>
      <c r="B6" s="46">
        <v>2</v>
      </c>
      <c r="C6" s="134">
        <v>3</v>
      </c>
      <c r="D6" s="135">
        <v>4</v>
      </c>
      <c r="E6" s="135">
        <v>5</v>
      </c>
      <c r="F6" s="46">
        <v>6</v>
      </c>
      <c r="G6" s="135">
        <v>7</v>
      </c>
      <c r="H6" s="49"/>
      <c r="I6" s="49"/>
      <c r="J6" s="49"/>
      <c r="K6" s="49"/>
      <c r="L6" s="49"/>
    </row>
    <row r="7" spans="1:12" ht="15">
      <c r="A7" s="929">
        <v>1</v>
      </c>
      <c r="B7" s="232" t="s">
        <v>1925</v>
      </c>
      <c r="C7" s="233">
        <v>7130830063</v>
      </c>
      <c r="D7" s="234" t="s">
        <v>1043</v>
      </c>
      <c r="E7" s="234">
        <v>3.1</v>
      </c>
      <c r="F7" s="235">
        <f>VLOOKUP(C7,'SOR RATE'!A:D,4,0)</f>
        <v>64842</v>
      </c>
      <c r="G7" s="236">
        <f>F7*E7</f>
        <v>201010.2</v>
      </c>
      <c r="H7" s="49"/>
      <c r="I7" s="49"/>
      <c r="J7" s="49"/>
      <c r="K7" s="49"/>
      <c r="L7" s="49"/>
    </row>
    <row r="8" spans="1:12" ht="29.25" customHeight="1">
      <c r="A8" s="929">
        <v>2</v>
      </c>
      <c r="B8" s="232" t="s">
        <v>1902</v>
      </c>
      <c r="C8" s="233">
        <v>7130830051</v>
      </c>
      <c r="D8" s="234" t="s">
        <v>1061</v>
      </c>
      <c r="E8" s="234">
        <v>6</v>
      </c>
      <c r="F8" s="235">
        <f>VLOOKUP(C8,'SOR RATE'!A:D,4,0)</f>
        <v>126</v>
      </c>
      <c r="G8" s="236">
        <f>E8*F8</f>
        <v>756</v>
      </c>
      <c r="H8" s="96"/>
      <c r="I8" s="49"/>
      <c r="J8" s="49"/>
      <c r="K8" s="49"/>
      <c r="L8" s="49"/>
    </row>
    <row r="9" spans="1:12" ht="15">
      <c r="A9" s="929">
        <v>3</v>
      </c>
      <c r="B9" s="1001" t="s">
        <v>1147</v>
      </c>
      <c r="C9" s="266">
        <v>7130820009</v>
      </c>
      <c r="D9" s="1002" t="s">
        <v>1061</v>
      </c>
      <c r="E9" s="929">
        <v>6</v>
      </c>
      <c r="F9" s="1003">
        <f>VLOOKUP(C9,'SOR RATE'!A:D,4,0)</f>
        <v>388</v>
      </c>
      <c r="G9" s="1004">
        <f>E9*F9</f>
        <v>2328</v>
      </c>
      <c r="H9" s="96"/>
      <c r="I9" s="1300" t="s">
        <v>1986</v>
      </c>
      <c r="J9" s="1300"/>
      <c r="K9" s="99"/>
      <c r="L9" s="100"/>
    </row>
    <row r="10" spans="1:12" ht="15">
      <c r="A10" s="1306">
        <v>4</v>
      </c>
      <c r="B10" s="232" t="s">
        <v>1903</v>
      </c>
      <c r="C10" s="1005"/>
      <c r="D10" s="1006"/>
      <c r="E10" s="1006"/>
      <c r="F10" s="1006"/>
      <c r="G10" s="1007"/>
      <c r="H10" s="49"/>
      <c r="I10" s="49"/>
      <c r="J10" s="98"/>
      <c r="K10" s="99"/>
      <c r="L10" s="100"/>
    </row>
    <row r="11" spans="1:12" ht="16.5" customHeight="1">
      <c r="A11" s="1306"/>
      <c r="B11" s="232" t="s">
        <v>1904</v>
      </c>
      <c r="C11" s="233">
        <v>7130870045</v>
      </c>
      <c r="D11" s="234" t="s">
        <v>1070</v>
      </c>
      <c r="E11" s="234">
        <f>'A-1'!E44</f>
        <v>49</v>
      </c>
      <c r="F11" s="235">
        <f>VLOOKUP(C11,'SOR RATE'!A:D,4,0)/1000</f>
        <v>55.094</v>
      </c>
      <c r="G11" s="236">
        <f aca="true" t="shared" si="0" ref="G11:G18">F11*E11</f>
        <v>2699.606</v>
      </c>
      <c r="H11" s="49"/>
      <c r="I11" s="49"/>
      <c r="J11" s="49"/>
      <c r="K11" s="49"/>
      <c r="L11" s="49"/>
    </row>
    <row r="12" spans="1:12" ht="18" customHeight="1">
      <c r="A12" s="1306"/>
      <c r="B12" s="232" t="s">
        <v>2010</v>
      </c>
      <c r="C12" s="233">
        <v>7130870043</v>
      </c>
      <c r="D12" s="234" t="s">
        <v>1070</v>
      </c>
      <c r="E12" s="234">
        <v>20</v>
      </c>
      <c r="F12" s="235">
        <f>VLOOKUP(C12,'SOR RATE'!A:D,4,0)/1000</f>
        <v>55.094</v>
      </c>
      <c r="G12" s="236">
        <f t="shared" si="0"/>
        <v>1101.88</v>
      </c>
      <c r="H12" s="49"/>
      <c r="I12" s="49"/>
      <c r="J12" s="49"/>
      <c r="K12" s="49"/>
      <c r="L12" s="49"/>
    </row>
    <row r="13" spans="1:12" ht="17.25" customHeight="1">
      <c r="A13" s="1306"/>
      <c r="B13" s="232" t="s">
        <v>1926</v>
      </c>
      <c r="C13" s="233">
        <v>7130897759</v>
      </c>
      <c r="D13" s="234" t="s">
        <v>1061</v>
      </c>
      <c r="E13" s="234">
        <v>1</v>
      </c>
      <c r="F13" s="235">
        <f>VLOOKUP(C13,'SOR RATE'!A:D,4,0)</f>
        <v>3315</v>
      </c>
      <c r="G13" s="236">
        <f t="shared" si="0"/>
        <v>3315</v>
      </c>
      <c r="H13" s="49"/>
      <c r="I13" s="49"/>
      <c r="J13" s="49"/>
      <c r="K13" s="49"/>
      <c r="L13" s="49"/>
    </row>
    <row r="14" spans="1:12" ht="17.25" customHeight="1">
      <c r="A14" s="1306"/>
      <c r="B14" s="232" t="s">
        <v>1905</v>
      </c>
      <c r="C14" s="233">
        <v>7130620625</v>
      </c>
      <c r="D14" s="234" t="s">
        <v>1070</v>
      </c>
      <c r="E14" s="234">
        <v>1.2</v>
      </c>
      <c r="F14" s="235">
        <f>VLOOKUP(C14,'SOR RATE'!A:D,4,0)</f>
        <v>62</v>
      </c>
      <c r="G14" s="236">
        <f t="shared" si="0"/>
        <v>74.39999999999999</v>
      </c>
      <c r="H14" s="49"/>
      <c r="I14" s="50"/>
      <c r="J14" s="50"/>
      <c r="K14" s="50"/>
      <c r="L14" s="49"/>
    </row>
    <row r="15" spans="1:12" ht="15">
      <c r="A15" s="1306"/>
      <c r="B15" s="232" t="s">
        <v>2011</v>
      </c>
      <c r="C15" s="178">
        <v>7130620013</v>
      </c>
      <c r="D15" s="234" t="s">
        <v>1061</v>
      </c>
      <c r="E15" s="234">
        <v>4</v>
      </c>
      <c r="F15" s="235">
        <f>VLOOKUP(C15,'SOR RATE'!A:D,4,0)</f>
        <v>118</v>
      </c>
      <c r="G15" s="236">
        <f t="shared" si="0"/>
        <v>472</v>
      </c>
      <c r="H15" s="49"/>
      <c r="I15" s="49"/>
      <c r="J15" s="49"/>
      <c r="K15" s="49"/>
      <c r="L15" s="49"/>
    </row>
    <row r="16" spans="1:12" ht="15">
      <c r="A16" s="1306"/>
      <c r="B16" s="232" t="s">
        <v>1042</v>
      </c>
      <c r="C16" s="233">
        <v>7130860033</v>
      </c>
      <c r="D16" s="234" t="s">
        <v>1061</v>
      </c>
      <c r="E16" s="234">
        <v>2</v>
      </c>
      <c r="F16" s="235">
        <f>VLOOKUP(C16,'SOR RATE'!A:D,4,0)</f>
        <v>705</v>
      </c>
      <c r="G16" s="236">
        <f t="shared" si="0"/>
        <v>1410</v>
      </c>
      <c r="H16" s="49"/>
      <c r="I16" s="49"/>
      <c r="J16" s="49"/>
      <c r="K16" s="49"/>
      <c r="L16" s="49"/>
    </row>
    <row r="17" spans="1:12" ht="15">
      <c r="A17" s="1306"/>
      <c r="B17" s="232" t="s">
        <v>1906</v>
      </c>
      <c r="C17" s="233">
        <v>7130860076</v>
      </c>
      <c r="D17" s="234" t="s">
        <v>1070</v>
      </c>
      <c r="E17" s="234">
        <v>17</v>
      </c>
      <c r="F17" s="235">
        <f>VLOOKUP(C17,'SOR RATE'!A:D,4,0)/1000</f>
        <v>61.002</v>
      </c>
      <c r="G17" s="236">
        <f t="shared" si="0"/>
        <v>1037.034</v>
      </c>
      <c r="H17" s="49"/>
      <c r="I17" s="49"/>
      <c r="J17" s="49"/>
      <c r="K17" s="49"/>
      <c r="L17" s="49"/>
    </row>
    <row r="18" spans="1:12" ht="15">
      <c r="A18" s="1306"/>
      <c r="B18" s="232" t="s">
        <v>1656</v>
      </c>
      <c r="C18" s="233">
        <v>7130620619</v>
      </c>
      <c r="D18" s="234" t="s">
        <v>1070</v>
      </c>
      <c r="E18" s="234">
        <v>1.5</v>
      </c>
      <c r="F18" s="235">
        <f>VLOOKUP(C18,'SOR RATE'!A:D,4,0)</f>
        <v>63</v>
      </c>
      <c r="G18" s="236">
        <f t="shared" si="0"/>
        <v>94.5</v>
      </c>
      <c r="H18" s="49"/>
      <c r="I18" s="49"/>
      <c r="J18" s="49"/>
      <c r="K18" s="49"/>
      <c r="L18" s="49"/>
    </row>
    <row r="19" spans="1:12" ht="17.25" customHeight="1">
      <c r="A19" s="1304">
        <v>5</v>
      </c>
      <c r="B19" s="232" t="s">
        <v>1928</v>
      </c>
      <c r="C19" s="233"/>
      <c r="D19" s="234" t="s">
        <v>1065</v>
      </c>
      <c r="E19" s="234">
        <v>0.6</v>
      </c>
      <c r="F19" s="235"/>
      <c r="G19" s="236"/>
      <c r="H19" s="49"/>
      <c r="I19" s="49"/>
      <c r="J19" s="49"/>
      <c r="K19" s="49"/>
      <c r="L19" s="49"/>
    </row>
    <row r="20" spans="1:12" ht="15">
      <c r="A20" s="1305"/>
      <c r="B20" s="232" t="s">
        <v>987</v>
      </c>
      <c r="C20" s="178">
        <v>7130200401</v>
      </c>
      <c r="D20" s="234" t="s">
        <v>1070</v>
      </c>
      <c r="E20" s="234">
        <f>208*0.6</f>
        <v>124.8</v>
      </c>
      <c r="F20" s="235">
        <f>VLOOKUP(C20,'SOR RATE'!A:D,4,0)/50</f>
        <v>5.36</v>
      </c>
      <c r="G20" s="236">
        <f>E20*F20</f>
        <v>668.928</v>
      </c>
      <c r="H20" s="49"/>
      <c r="J20" s="49"/>
      <c r="K20" s="49"/>
      <c r="L20" s="49"/>
    </row>
    <row r="21" spans="1:12" ht="15">
      <c r="A21" s="1008">
        <v>6</v>
      </c>
      <c r="B21" s="239" t="s">
        <v>771</v>
      </c>
      <c r="C21" s="135"/>
      <c r="D21" s="1009" t="s">
        <v>1929</v>
      </c>
      <c r="E21" s="234"/>
      <c r="F21" s="236"/>
      <c r="G21" s="240">
        <f>SUM(G7:G20)</f>
        <v>214967.54800000004</v>
      </c>
      <c r="H21" s="206"/>
      <c r="I21" s="117"/>
      <c r="J21" s="49"/>
      <c r="K21" s="49"/>
      <c r="L21" s="49"/>
    </row>
    <row r="22" spans="1:12" ht="15.75">
      <c r="A22" s="928">
        <v>7</v>
      </c>
      <c r="B22" s="237" t="s">
        <v>770</v>
      </c>
      <c r="C22" s="1010"/>
      <c r="D22" s="1011"/>
      <c r="E22" s="1011"/>
      <c r="F22" s="1012">
        <v>0.09</v>
      </c>
      <c r="G22" s="1013">
        <f>G21*F22</f>
        <v>19347.079320000004</v>
      </c>
      <c r="H22" s="206"/>
      <c r="I22" s="117"/>
      <c r="J22" s="49"/>
      <c r="K22" s="49"/>
      <c r="L22" s="49"/>
    </row>
    <row r="23" spans="1:12" ht="17.25" customHeight="1">
      <c r="A23" s="234">
        <v>8</v>
      </c>
      <c r="B23" s="1014" t="s">
        <v>1907</v>
      </c>
      <c r="C23" s="1015"/>
      <c r="D23" s="1016" t="s">
        <v>1065</v>
      </c>
      <c r="E23" s="234">
        <v>0.6</v>
      </c>
      <c r="F23" s="235">
        <f>1664*1.27*1.0891*1.086275*1.1112*1.0685</f>
        <v>2968.460981603261</v>
      </c>
      <c r="G23" s="236">
        <f>E23*F23</f>
        <v>1781.0765889619568</v>
      </c>
      <c r="H23" s="49"/>
      <c r="I23" s="63"/>
      <c r="J23" s="49"/>
      <c r="K23" s="49"/>
      <c r="L23" s="49"/>
    </row>
    <row r="24" spans="1:12" ht="15.75">
      <c r="A24" s="1304">
        <v>9</v>
      </c>
      <c r="B24" s="1014" t="s">
        <v>1908</v>
      </c>
      <c r="C24" s="1017"/>
      <c r="D24" s="1017"/>
      <c r="E24" s="1017"/>
      <c r="F24" s="1017"/>
      <c r="G24" s="1018">
        <f>G25+G26+G27+G28</f>
        <v>15549.220000000001</v>
      </c>
      <c r="H24" s="118"/>
      <c r="I24" s="63"/>
      <c r="J24" s="49"/>
      <c r="K24" s="49"/>
      <c r="L24" s="49"/>
    </row>
    <row r="25" spans="1:12" ht="15">
      <c r="A25" s="1307"/>
      <c r="B25" s="1019" t="s">
        <v>1909</v>
      </c>
      <c r="C25" s="1020"/>
      <c r="D25" s="1021" t="s">
        <v>1061</v>
      </c>
      <c r="E25" s="234">
        <v>2</v>
      </c>
      <c r="F25" s="235">
        <v>140.63</v>
      </c>
      <c r="G25" s="236">
        <f>E25*F25</f>
        <v>281.26</v>
      </c>
      <c r="H25" s="49"/>
      <c r="I25" s="63"/>
      <c r="J25" s="49"/>
      <c r="K25" s="49"/>
      <c r="L25" s="49"/>
    </row>
    <row r="26" spans="1:12" ht="15">
      <c r="A26" s="1307"/>
      <c r="B26" s="232" t="s">
        <v>1910</v>
      </c>
      <c r="C26" s="232"/>
      <c r="D26" s="241" t="s">
        <v>1911</v>
      </c>
      <c r="E26" s="234">
        <v>1</v>
      </c>
      <c r="F26" s="235">
        <v>9040.24</v>
      </c>
      <c r="G26" s="236">
        <f>E26*F26</f>
        <v>9040.24</v>
      </c>
      <c r="H26" s="49"/>
      <c r="I26" s="63"/>
      <c r="J26" s="49"/>
      <c r="K26" s="49"/>
      <c r="L26" s="49"/>
    </row>
    <row r="27" spans="1:12" ht="15">
      <c r="A27" s="1307"/>
      <c r="B27" s="232" t="s">
        <v>1912</v>
      </c>
      <c r="C27" s="232"/>
      <c r="D27" s="241" t="s">
        <v>1913</v>
      </c>
      <c r="E27" s="234">
        <v>1</v>
      </c>
      <c r="F27" s="235">
        <v>1707.6</v>
      </c>
      <c r="G27" s="236">
        <f>E27*F27</f>
        <v>1707.6</v>
      </c>
      <c r="H27" s="49"/>
      <c r="I27" s="63"/>
      <c r="J27" s="49"/>
      <c r="K27" s="49"/>
      <c r="L27" s="49"/>
    </row>
    <row r="28" spans="1:12" ht="15">
      <c r="A28" s="1305"/>
      <c r="B28" s="1022" t="s">
        <v>1914</v>
      </c>
      <c r="C28" s="1022"/>
      <c r="D28" s="241" t="s">
        <v>1911</v>
      </c>
      <c r="E28" s="241">
        <v>1</v>
      </c>
      <c r="F28" s="1023">
        <f>F26*0.5</f>
        <v>4520.12</v>
      </c>
      <c r="G28" s="236">
        <f>E28*F28</f>
        <v>4520.12</v>
      </c>
      <c r="H28" s="49"/>
      <c r="I28" s="49"/>
      <c r="J28" s="49"/>
      <c r="K28" s="49"/>
      <c r="L28" s="49"/>
    </row>
    <row r="29" spans="1:12" ht="15">
      <c r="A29" s="1008">
        <v>10</v>
      </c>
      <c r="B29" s="239" t="s">
        <v>772</v>
      </c>
      <c r="C29" s="1024"/>
      <c r="D29" s="241"/>
      <c r="E29" s="241"/>
      <c r="F29" s="1025"/>
      <c r="G29" s="240">
        <f>G21+G22+G23+G24</f>
        <v>251644.923908962</v>
      </c>
      <c r="H29" s="208"/>
      <c r="I29" s="125"/>
      <c r="J29" s="49"/>
      <c r="K29" s="49"/>
      <c r="L29" s="49"/>
    </row>
    <row r="30" spans="1:12" ht="42.75">
      <c r="A30" s="929">
        <v>11</v>
      </c>
      <c r="B30" s="237" t="s">
        <v>773</v>
      </c>
      <c r="C30" s="1024"/>
      <c r="D30" s="241"/>
      <c r="E30" s="241"/>
      <c r="F30" s="1026">
        <v>0.11</v>
      </c>
      <c r="G30" s="236">
        <f>G21*F30</f>
        <v>23646.430280000004</v>
      </c>
      <c r="H30" s="208"/>
      <c r="I30" s="125"/>
      <c r="J30" s="49"/>
      <c r="K30" s="49"/>
      <c r="L30" s="49"/>
    </row>
    <row r="31" spans="1:12" ht="42.75">
      <c r="A31" s="234">
        <v>12</v>
      </c>
      <c r="B31" s="232" t="s">
        <v>1915</v>
      </c>
      <c r="C31" s="232"/>
      <c r="D31" s="241"/>
      <c r="E31" s="234">
        <v>3.1</v>
      </c>
      <c r="F31" s="236">
        <v>5229.36</v>
      </c>
      <c r="G31" s="236">
        <f>E31*F31</f>
        <v>16211.016</v>
      </c>
      <c r="I31" s="136"/>
      <c r="J31" s="908"/>
      <c r="K31" s="49"/>
      <c r="L31" s="49"/>
    </row>
    <row r="32" spans="1:12" ht="15.75">
      <c r="A32" s="1008">
        <v>13</v>
      </c>
      <c r="B32" s="1308" t="s">
        <v>1624</v>
      </c>
      <c r="C32" s="1308"/>
      <c r="D32" s="1308"/>
      <c r="E32" s="1308"/>
      <c r="F32" s="1308"/>
      <c r="G32" s="970">
        <f>(G29+G30-G31)</f>
        <v>259080.33818896202</v>
      </c>
      <c r="H32" s="63"/>
      <c r="I32" s="63"/>
      <c r="J32" s="49"/>
      <c r="K32" s="49"/>
      <c r="L32" s="49"/>
    </row>
    <row r="33" spans="1:12" ht="15.75">
      <c r="A33" s="83">
        <v>14</v>
      </c>
      <c r="B33" s="930" t="s">
        <v>996</v>
      </c>
      <c r="C33" s="1027"/>
      <c r="D33" s="1027"/>
      <c r="E33" s="1027"/>
      <c r="F33" s="242"/>
      <c r="G33" s="1028">
        <f>ROUND(G32,0)</f>
        <v>259080</v>
      </c>
      <c r="H33" s="49"/>
      <c r="I33" s="63"/>
      <c r="J33" s="49"/>
      <c r="K33" s="49"/>
      <c r="L33" s="49"/>
    </row>
    <row r="34" spans="1:12" ht="15">
      <c r="A34" s="137"/>
      <c r="B34" s="49"/>
      <c r="C34" s="49"/>
      <c r="D34" s="49"/>
      <c r="E34" s="49"/>
      <c r="F34" s="49"/>
      <c r="G34" s="49"/>
      <c r="H34" s="49"/>
      <c r="I34" s="49"/>
      <c r="J34" s="49"/>
      <c r="K34" s="49"/>
      <c r="L34" s="49"/>
    </row>
    <row r="56" spans="1:3" ht="15">
      <c r="A56" s="222"/>
      <c r="B56" s="1301" t="s">
        <v>1146</v>
      </c>
      <c r="C56" s="1301"/>
    </row>
    <row r="57" spans="1:3" ht="14.25">
      <c r="A57" s="222" t="s">
        <v>1116</v>
      </c>
      <c r="B57" s="262" t="s">
        <v>986</v>
      </c>
      <c r="C57" s="263">
        <v>7130820158</v>
      </c>
    </row>
  </sheetData>
  <sheetProtection/>
  <mergeCells count="8">
    <mergeCell ref="I9:J9"/>
    <mergeCell ref="B56:C56"/>
    <mergeCell ref="B1:E1"/>
    <mergeCell ref="B3:F3"/>
    <mergeCell ref="A19:A20"/>
    <mergeCell ref="A10:A18"/>
    <mergeCell ref="A24:A28"/>
    <mergeCell ref="B32:F32"/>
  </mergeCells>
  <printOptions/>
  <pageMargins left="0.9" right="0.1" top="0.71" bottom="0.35" header="0.38" footer="0.17"/>
  <pageSetup horizontalDpi="600" verticalDpi="600" orientation="landscape" scale="125" r:id="rId1"/>
  <ignoredErrors>
    <ignoredError sqref="G24" formula="1"/>
  </ignoredErrors>
</worksheet>
</file>

<file path=xl/worksheets/sheet8.xml><?xml version="1.0" encoding="utf-8"?>
<worksheet xmlns="http://schemas.openxmlformats.org/spreadsheetml/2006/main" xmlns:r="http://schemas.openxmlformats.org/officeDocument/2006/relationships">
  <sheetPr>
    <tabColor indexed="11"/>
  </sheetPr>
  <dimension ref="A1:N54"/>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4.8515625" style="79" customWidth="1"/>
    <col min="2" max="2" width="47.28125" style="2" customWidth="1"/>
    <col min="3" max="3" width="14.28125" style="2" bestFit="1" customWidth="1"/>
    <col min="4" max="4" width="7.140625" style="2" customWidth="1"/>
    <col min="5" max="5" width="8.00390625" style="2" customWidth="1"/>
    <col min="6" max="6" width="9.28125" style="2" customWidth="1"/>
    <col min="7" max="7" width="11.28125" style="2" customWidth="1"/>
    <col min="8" max="9" width="9.140625" style="2" customWidth="1"/>
    <col min="10" max="10" width="18.28125" style="2" customWidth="1"/>
    <col min="11" max="11" width="9.140625" style="2" customWidth="1"/>
    <col min="12" max="12" width="6.28125" style="2" customWidth="1"/>
    <col min="13" max="16384" width="9.140625" style="2" customWidth="1"/>
  </cols>
  <sheetData>
    <row r="1" spans="2:12" ht="20.25" customHeight="1">
      <c r="B1" s="1302" t="s">
        <v>939</v>
      </c>
      <c r="C1" s="1302"/>
      <c r="D1" s="29"/>
      <c r="E1" s="29"/>
      <c r="F1" s="29"/>
      <c r="G1" s="39"/>
      <c r="H1" s="24"/>
      <c r="I1" s="24"/>
      <c r="J1" s="24"/>
      <c r="K1" s="24"/>
      <c r="L1" s="24"/>
    </row>
    <row r="2" spans="1:12" ht="15" customHeight="1">
      <c r="A2" s="40"/>
      <c r="B2" s="216"/>
      <c r="C2" s="216"/>
      <c r="D2" s="216"/>
      <c r="E2" s="216"/>
      <c r="F2" s="1319" t="s">
        <v>1153</v>
      </c>
      <c r="G2" s="1319"/>
      <c r="H2" s="24"/>
      <c r="I2" s="24"/>
      <c r="J2" s="24"/>
      <c r="K2" s="24"/>
      <c r="L2" s="24"/>
    </row>
    <row r="3" spans="2:12" ht="32.25" customHeight="1">
      <c r="B3" s="1320" t="s">
        <v>127</v>
      </c>
      <c r="C3" s="1320"/>
      <c r="D3" s="1320"/>
      <c r="E3" s="1320"/>
      <c r="F3" s="1320"/>
      <c r="G3" s="1320"/>
      <c r="H3" s="24"/>
      <c r="I3" s="24"/>
      <c r="J3" s="24"/>
      <c r="K3" s="24"/>
      <c r="L3" s="24"/>
    </row>
    <row r="4" spans="1:12" ht="20.25" customHeight="1">
      <c r="A4" s="41"/>
      <c r="B4" s="41"/>
      <c r="C4" s="41"/>
      <c r="D4" s="41"/>
      <c r="E4" s="41"/>
      <c r="F4" s="41"/>
      <c r="G4" s="41"/>
      <c r="H4" s="24"/>
      <c r="I4" s="24"/>
      <c r="J4" s="24"/>
      <c r="K4" s="24"/>
      <c r="L4" s="24"/>
    </row>
    <row r="5" spans="1:12" ht="36" customHeight="1">
      <c r="A5" s="1309" t="s">
        <v>1947</v>
      </c>
      <c r="B5" s="1309" t="s">
        <v>1057</v>
      </c>
      <c r="C5" s="1315" t="s">
        <v>1331</v>
      </c>
      <c r="D5" s="1309" t="s">
        <v>1058</v>
      </c>
      <c r="E5" s="1321" t="s">
        <v>1089</v>
      </c>
      <c r="F5" s="1321"/>
      <c r="G5" s="1321"/>
      <c r="H5" s="899"/>
      <c r="I5" s="899"/>
      <c r="J5" s="24"/>
      <c r="K5" s="24"/>
      <c r="L5" s="24"/>
    </row>
    <row r="6" spans="1:12" ht="18.75" customHeight="1">
      <c r="A6" s="1309"/>
      <c r="B6" s="1309"/>
      <c r="C6" s="1316"/>
      <c r="D6" s="1309"/>
      <c r="E6" s="138" t="s">
        <v>1060</v>
      </c>
      <c r="F6" s="138" t="s">
        <v>1018</v>
      </c>
      <c r="G6" s="138" t="s">
        <v>1434</v>
      </c>
      <c r="H6" s="42"/>
      <c r="I6" s="42"/>
      <c r="J6" s="42"/>
      <c r="K6" s="42"/>
      <c r="L6" s="42"/>
    </row>
    <row r="7" spans="1:10" ht="15.75">
      <c r="A7" s="139">
        <v>1</v>
      </c>
      <c r="B7" s="139">
        <v>2</v>
      </c>
      <c r="C7" s="140">
        <v>3</v>
      </c>
      <c r="D7" s="139">
        <v>4</v>
      </c>
      <c r="E7" s="141">
        <v>5</v>
      </c>
      <c r="F7" s="141">
        <v>6</v>
      </c>
      <c r="G7" s="141">
        <v>7</v>
      </c>
      <c r="H7" s="42"/>
      <c r="I7" s="103"/>
      <c r="J7" s="2" t="s">
        <v>1032</v>
      </c>
    </row>
    <row r="8" spans="1:14" ht="32.25" customHeight="1">
      <c r="A8" s="243">
        <v>1</v>
      </c>
      <c r="B8" s="237" t="s">
        <v>1657</v>
      </c>
      <c r="C8" s="238">
        <v>7130601958</v>
      </c>
      <c r="D8" s="1026" t="s">
        <v>1070</v>
      </c>
      <c r="E8" s="1029">
        <v>482.3</v>
      </c>
      <c r="F8" s="244">
        <f>VLOOKUP(C8,'SOR RATE'!A:D,4,0)/1000</f>
        <v>44.989</v>
      </c>
      <c r="G8" s="244">
        <f>F8*E8</f>
        <v>21698.1947</v>
      </c>
      <c r="H8" s="144"/>
      <c r="I8" s="144"/>
      <c r="J8" s="144"/>
      <c r="K8" s="144"/>
      <c r="L8" s="144"/>
      <c r="M8" s="144"/>
      <c r="N8" s="144"/>
    </row>
    <row r="9" spans="1:14" ht="33" customHeight="1">
      <c r="A9" s="243">
        <v>2</v>
      </c>
      <c r="B9" s="237" t="s">
        <v>717</v>
      </c>
      <c r="C9" s="238">
        <v>7130601072</v>
      </c>
      <c r="D9" s="1026" t="s">
        <v>1070</v>
      </c>
      <c r="E9" s="1029"/>
      <c r="F9" s="244"/>
      <c r="G9" s="244"/>
      <c r="H9" s="144"/>
      <c r="I9" s="144"/>
      <c r="J9" s="144"/>
      <c r="K9" s="144"/>
      <c r="L9" s="144"/>
      <c r="M9" s="144"/>
      <c r="N9" s="144"/>
    </row>
    <row r="10" spans="1:11" ht="16.5" customHeight="1">
      <c r="A10" s="1030">
        <v>3</v>
      </c>
      <c r="B10" s="245" t="s">
        <v>811</v>
      </c>
      <c r="C10" s="243">
        <v>7130810595</v>
      </c>
      <c r="D10" s="1031" t="s">
        <v>1061</v>
      </c>
      <c r="E10" s="246">
        <v>1</v>
      </c>
      <c r="F10" s="244">
        <f>VLOOKUP(C10,'SOR RATE'!A:D,4,0)</f>
        <v>2332</v>
      </c>
      <c r="G10" s="244">
        <f aca="true" t="shared" si="0" ref="G10:G17">F10*E10</f>
        <v>2332</v>
      </c>
      <c r="I10" s="42"/>
      <c r="J10" s="42"/>
      <c r="K10" s="42"/>
    </row>
    <row r="11" spans="1:10" ht="18" customHeight="1">
      <c r="A11" s="1310">
        <v>4</v>
      </c>
      <c r="B11" s="245" t="s">
        <v>1335</v>
      </c>
      <c r="C11" s="1032"/>
      <c r="D11" s="1033"/>
      <c r="E11" s="1033"/>
      <c r="F11" s="1033"/>
      <c r="G11" s="1034"/>
      <c r="H11" s="24"/>
      <c r="J11" s="143"/>
    </row>
    <row r="12" spans="1:11" ht="17.25" customHeight="1">
      <c r="A12" s="1313"/>
      <c r="B12" s="237" t="s">
        <v>1658</v>
      </c>
      <c r="C12" s="238">
        <v>7130810692</v>
      </c>
      <c r="D12" s="1026" t="s">
        <v>1061</v>
      </c>
      <c r="E12" s="246">
        <v>1</v>
      </c>
      <c r="F12" s="244">
        <f>VLOOKUP(C12,'SOR RATE'!A:D,4,0)</f>
        <v>294</v>
      </c>
      <c r="G12" s="244">
        <f t="shared" si="0"/>
        <v>294</v>
      </c>
      <c r="H12" s="24"/>
      <c r="J12" s="103"/>
      <c r="K12" s="103"/>
    </row>
    <row r="13" spans="1:11" ht="17.25" customHeight="1">
      <c r="A13" s="1313"/>
      <c r="B13" s="237" t="s">
        <v>1959</v>
      </c>
      <c r="C13" s="238">
        <v>7130810201</v>
      </c>
      <c r="D13" s="1026" t="s">
        <v>1061</v>
      </c>
      <c r="E13" s="244"/>
      <c r="F13" s="244"/>
      <c r="G13" s="244"/>
      <c r="H13" s="24"/>
      <c r="J13" s="103"/>
      <c r="K13" s="103"/>
    </row>
    <row r="14" spans="1:11" ht="17.25" customHeight="1">
      <c r="A14" s="1314"/>
      <c r="B14" s="237" t="s">
        <v>1960</v>
      </c>
      <c r="C14" s="238">
        <v>7130810251</v>
      </c>
      <c r="D14" s="1026" t="s">
        <v>1061</v>
      </c>
      <c r="E14" s="244"/>
      <c r="F14" s="244"/>
      <c r="G14" s="244"/>
      <c r="H14" s="24"/>
      <c r="J14" s="103"/>
      <c r="K14" s="103"/>
    </row>
    <row r="15" spans="1:11" ht="17.25" customHeight="1">
      <c r="A15" s="246">
        <v>5</v>
      </c>
      <c r="B15" s="245" t="s">
        <v>1916</v>
      </c>
      <c r="C15" s="243">
        <v>7130810676</v>
      </c>
      <c r="D15" s="1031" t="s">
        <v>1061</v>
      </c>
      <c r="E15" s="246">
        <v>1</v>
      </c>
      <c r="F15" s="244">
        <f>VLOOKUP(C15,'SOR RATE'!A:D,4,0)</f>
        <v>388</v>
      </c>
      <c r="G15" s="244">
        <f t="shared" si="0"/>
        <v>388</v>
      </c>
      <c r="H15" s="24"/>
      <c r="I15" s="142"/>
      <c r="J15" s="142"/>
      <c r="K15" s="142"/>
    </row>
    <row r="16" spans="1:12" ht="17.25" customHeight="1">
      <c r="A16" s="243">
        <v>6</v>
      </c>
      <c r="B16" s="245" t="s">
        <v>1062</v>
      </c>
      <c r="C16" s="243">
        <v>7130870013</v>
      </c>
      <c r="D16" s="1031" t="s">
        <v>1130</v>
      </c>
      <c r="E16" s="246">
        <v>1</v>
      </c>
      <c r="F16" s="244">
        <f>VLOOKUP(C16,'SOR RATE'!A:D,4,0)</f>
        <v>100</v>
      </c>
      <c r="G16" s="244">
        <f t="shared" si="0"/>
        <v>100</v>
      </c>
      <c r="H16" s="44"/>
      <c r="I16" s="107"/>
      <c r="J16" s="107"/>
      <c r="K16" s="103"/>
      <c r="L16" s="103"/>
    </row>
    <row r="17" spans="1:11" ht="15.75" customHeight="1">
      <c r="A17" s="1030">
        <v>7</v>
      </c>
      <c r="B17" s="237" t="s">
        <v>1147</v>
      </c>
      <c r="C17" s="238">
        <v>7130820009</v>
      </c>
      <c r="D17" s="1031" t="s">
        <v>1061</v>
      </c>
      <c r="E17" s="246">
        <v>3</v>
      </c>
      <c r="F17" s="244">
        <f>VLOOKUP(C17,'SOR RATE'!A:D,4,0)</f>
        <v>388</v>
      </c>
      <c r="G17" s="244">
        <f t="shared" si="0"/>
        <v>1164</v>
      </c>
      <c r="H17" s="24"/>
      <c r="J17" s="1317" t="s">
        <v>1986</v>
      </c>
      <c r="K17" s="1317"/>
    </row>
    <row r="18" spans="1:11" ht="46.5" customHeight="1">
      <c r="A18" s="1310">
        <v>8</v>
      </c>
      <c r="B18" s="1035" t="s">
        <v>718</v>
      </c>
      <c r="C18" s="243"/>
      <c r="D18" s="1031" t="s">
        <v>1065</v>
      </c>
      <c r="E18" s="244">
        <v>0.65</v>
      </c>
      <c r="F18" s="244"/>
      <c r="G18" s="244"/>
      <c r="I18" s="900"/>
      <c r="J18" s="900"/>
      <c r="K18" s="103"/>
    </row>
    <row r="19" spans="1:11" ht="18" customHeight="1">
      <c r="A19" s="1312"/>
      <c r="B19" s="245" t="s">
        <v>1956</v>
      </c>
      <c r="C19" s="243">
        <v>7130200401</v>
      </c>
      <c r="D19" s="1031" t="s">
        <v>1070</v>
      </c>
      <c r="E19" s="244">
        <f>208*E18</f>
        <v>135.20000000000002</v>
      </c>
      <c r="F19" s="244">
        <f>VLOOKUP(C19,'SOR RATE'!A:D,4,0)/50</f>
        <v>5.36</v>
      </c>
      <c r="G19" s="244">
        <f aca="true" t="shared" si="1" ref="G19:G24">F19*E19</f>
        <v>724.6720000000001</v>
      </c>
      <c r="H19" s="24"/>
      <c r="I19" s="101"/>
      <c r="J19" s="103"/>
      <c r="K19" s="103"/>
    </row>
    <row r="20" spans="1:11" ht="14.25">
      <c r="A20" s="1030">
        <v>9</v>
      </c>
      <c r="B20" s="245" t="s">
        <v>1066</v>
      </c>
      <c r="C20" s="243">
        <v>7130211158</v>
      </c>
      <c r="D20" s="1031" t="s">
        <v>1067</v>
      </c>
      <c r="E20" s="246">
        <v>1</v>
      </c>
      <c r="F20" s="244">
        <f>VLOOKUP(C20,'SOR RATE'!A:D,4,0)</f>
        <v>130</v>
      </c>
      <c r="G20" s="244">
        <f t="shared" si="1"/>
        <v>130</v>
      </c>
      <c r="H20" s="24"/>
      <c r="I20" s="102"/>
      <c r="J20" s="103"/>
      <c r="K20" s="103"/>
    </row>
    <row r="21" spans="1:7" ht="14.25">
      <c r="A21" s="1030">
        <v>10</v>
      </c>
      <c r="B21" s="245" t="s">
        <v>1068</v>
      </c>
      <c r="C21" s="243">
        <v>7130210809</v>
      </c>
      <c r="D21" s="1031" t="s">
        <v>1067</v>
      </c>
      <c r="E21" s="246">
        <v>1</v>
      </c>
      <c r="F21" s="244">
        <f>VLOOKUP(C21,'SOR RATE'!A:D,4,0)</f>
        <v>290</v>
      </c>
      <c r="G21" s="244">
        <f t="shared" si="1"/>
        <v>290</v>
      </c>
    </row>
    <row r="22" spans="1:12" ht="16.5" customHeight="1">
      <c r="A22" s="1030">
        <v>11</v>
      </c>
      <c r="B22" s="237" t="s">
        <v>430</v>
      </c>
      <c r="C22" s="238">
        <v>7130610206</v>
      </c>
      <c r="D22" s="1031" t="s">
        <v>1070</v>
      </c>
      <c r="E22" s="246">
        <v>1</v>
      </c>
      <c r="F22" s="244">
        <f>VLOOKUP(C22,'SOR RATE'!A:D,4,0)/1000</f>
        <v>66.528</v>
      </c>
      <c r="G22" s="244">
        <f t="shared" si="1"/>
        <v>66.528</v>
      </c>
      <c r="I22" s="144"/>
      <c r="J22" s="144"/>
      <c r="K22" s="104"/>
      <c r="L22" s="24"/>
    </row>
    <row r="23" spans="1:12" ht="15.75" customHeight="1">
      <c r="A23" s="1030">
        <v>12</v>
      </c>
      <c r="B23" s="245" t="s">
        <v>1069</v>
      </c>
      <c r="C23" s="243">
        <v>7130880041</v>
      </c>
      <c r="D23" s="1031" t="s">
        <v>1061</v>
      </c>
      <c r="E23" s="246">
        <v>1</v>
      </c>
      <c r="F23" s="244">
        <f>VLOOKUP(C23,'SOR RATE'!A:D,4,0)</f>
        <v>74</v>
      </c>
      <c r="G23" s="244">
        <f t="shared" si="1"/>
        <v>74</v>
      </c>
      <c r="H23" s="24"/>
      <c r="I23" s="24"/>
      <c r="J23" s="24"/>
      <c r="K23" s="24"/>
      <c r="L23" s="24"/>
    </row>
    <row r="24" spans="1:12" ht="18" customHeight="1">
      <c r="A24" s="243">
        <v>13</v>
      </c>
      <c r="B24" s="245" t="s">
        <v>1917</v>
      </c>
      <c r="C24" s="243">
        <v>7130830006</v>
      </c>
      <c r="D24" s="1031" t="s">
        <v>1070</v>
      </c>
      <c r="E24" s="244">
        <v>0.5</v>
      </c>
      <c r="F24" s="244">
        <f>VLOOKUP(C24,'SOR RATE'!A:D,4,0)</f>
        <v>139</v>
      </c>
      <c r="G24" s="244">
        <f t="shared" si="1"/>
        <v>69.5</v>
      </c>
      <c r="H24" s="24"/>
      <c r="I24" s="24"/>
      <c r="J24" s="24"/>
      <c r="K24" s="24"/>
      <c r="L24" s="24"/>
    </row>
    <row r="25" spans="1:7" ht="18" customHeight="1">
      <c r="A25" s="1310">
        <v>14</v>
      </c>
      <c r="B25" s="1035" t="s">
        <v>1071</v>
      </c>
      <c r="C25" s="1036"/>
      <c r="D25" s="247" t="s">
        <v>1070</v>
      </c>
      <c r="E25" s="1029">
        <v>2.5</v>
      </c>
      <c r="F25" s="244"/>
      <c r="G25" s="244"/>
    </row>
    <row r="26" spans="1:12" ht="18" customHeight="1">
      <c r="A26" s="1311"/>
      <c r="B26" s="245" t="s">
        <v>1033</v>
      </c>
      <c r="C26" s="243">
        <v>7130620609</v>
      </c>
      <c r="D26" s="247" t="s">
        <v>1070</v>
      </c>
      <c r="E26" s="244">
        <v>0.5</v>
      </c>
      <c r="F26" s="244">
        <f>VLOOKUP(C26,'SOR RATE'!A:D,4,0)</f>
        <v>64</v>
      </c>
      <c r="G26" s="244">
        <f>F26*E26</f>
        <v>32</v>
      </c>
      <c r="H26" s="24"/>
      <c r="I26" s="24"/>
      <c r="J26" s="24"/>
      <c r="K26" s="24"/>
      <c r="L26" s="24"/>
    </row>
    <row r="27" spans="1:12" ht="18" customHeight="1">
      <c r="A27" s="1311"/>
      <c r="B27" s="245" t="s">
        <v>1949</v>
      </c>
      <c r="C27" s="243">
        <v>7130620614</v>
      </c>
      <c r="D27" s="247" t="s">
        <v>1070</v>
      </c>
      <c r="E27" s="246">
        <v>1</v>
      </c>
      <c r="F27" s="244">
        <f>VLOOKUP(C27,'SOR RATE'!A:D,4,0)</f>
        <v>63</v>
      </c>
      <c r="G27" s="244">
        <f>F27*E27</f>
        <v>63</v>
      </c>
      <c r="H27" s="24"/>
      <c r="I27" s="24"/>
      <c r="J27" s="24"/>
      <c r="K27" s="24"/>
      <c r="L27" s="24"/>
    </row>
    <row r="28" spans="1:12" ht="18" customHeight="1">
      <c r="A28" s="1311"/>
      <c r="B28" s="245" t="s">
        <v>1950</v>
      </c>
      <c r="C28" s="243">
        <v>7130620619</v>
      </c>
      <c r="D28" s="247" t="s">
        <v>1070</v>
      </c>
      <c r="E28" s="244"/>
      <c r="F28" s="244">
        <f>VLOOKUP(C28,'SOR RATE'!A:D,4,0)</f>
        <v>63</v>
      </c>
      <c r="G28" s="244"/>
      <c r="H28" s="24"/>
      <c r="I28" s="24"/>
      <c r="K28" s="24"/>
      <c r="L28" s="24"/>
    </row>
    <row r="29" spans="1:12" ht="18" customHeight="1">
      <c r="A29" s="1311"/>
      <c r="B29" s="245" t="s">
        <v>1951</v>
      </c>
      <c r="C29" s="243">
        <v>7130620625</v>
      </c>
      <c r="D29" s="247" t="s">
        <v>1070</v>
      </c>
      <c r="E29" s="246">
        <f>10/10</f>
        <v>1</v>
      </c>
      <c r="F29" s="244">
        <f>VLOOKUP(C29,'SOR RATE'!A:D,4,0)</f>
        <v>62</v>
      </c>
      <c r="G29" s="244">
        <f>F29*E29</f>
        <v>62</v>
      </c>
      <c r="H29" s="24"/>
      <c r="I29" s="24"/>
      <c r="J29" s="24"/>
      <c r="K29" s="24"/>
      <c r="L29" s="24"/>
    </row>
    <row r="30" spans="1:12" ht="18" customHeight="1">
      <c r="A30" s="1312"/>
      <c r="B30" s="245" t="s">
        <v>1952</v>
      </c>
      <c r="C30" s="243">
        <v>7130620627</v>
      </c>
      <c r="D30" s="247" t="s">
        <v>1070</v>
      </c>
      <c r="E30" s="244"/>
      <c r="F30" s="244">
        <f>VLOOKUP(C30,'SOR RATE'!A:D,4,0)</f>
        <v>62</v>
      </c>
      <c r="G30" s="244"/>
      <c r="H30" s="24"/>
      <c r="I30" s="24"/>
      <c r="J30" s="24"/>
      <c r="K30" s="24"/>
      <c r="L30" s="24"/>
    </row>
    <row r="31" spans="1:12" ht="18" customHeight="1">
      <c r="A31" s="1037">
        <v>15</v>
      </c>
      <c r="B31" s="239" t="s">
        <v>771</v>
      </c>
      <c r="C31" s="1038"/>
      <c r="D31" s="1037"/>
      <c r="E31" s="248"/>
      <c r="F31" s="248"/>
      <c r="G31" s="248">
        <f>SUM(G8:G30)</f>
        <v>27487.894699999997</v>
      </c>
      <c r="H31" s="117"/>
      <c r="I31" s="25"/>
      <c r="J31" s="25"/>
      <c r="K31" s="25"/>
      <c r="L31" s="25"/>
    </row>
    <row r="32" spans="1:12" ht="18.75" customHeight="1">
      <c r="A32" s="1030">
        <v>16</v>
      </c>
      <c r="B32" s="237" t="s">
        <v>1349</v>
      </c>
      <c r="C32" s="1039"/>
      <c r="D32" s="1040"/>
      <c r="E32" s="1040"/>
      <c r="F32" s="1030">
        <v>0.09</v>
      </c>
      <c r="G32" s="1041">
        <f>G31*F32</f>
        <v>2473.9105229999996</v>
      </c>
      <c r="H32" s="199"/>
      <c r="I32" s="199"/>
      <c r="J32" s="24"/>
      <c r="K32" s="24"/>
      <c r="L32" s="24"/>
    </row>
    <row r="33" spans="1:12" ht="17.25" customHeight="1">
      <c r="A33" s="1030">
        <v>17</v>
      </c>
      <c r="B33" s="1042" t="s">
        <v>1334</v>
      </c>
      <c r="C33" s="1043"/>
      <c r="D33" s="1031" t="s">
        <v>1065</v>
      </c>
      <c r="E33" s="244">
        <v>0.65</v>
      </c>
      <c r="F33" s="235">
        <f>1664*1.27*1.0891*1.086275*1.1112*1.0685</f>
        <v>2968.460981603261</v>
      </c>
      <c r="G33" s="244">
        <f>F33*E33</f>
        <v>1929.4996380421198</v>
      </c>
      <c r="H33" s="24"/>
      <c r="I33" s="24"/>
      <c r="J33" s="24"/>
      <c r="K33" s="24"/>
      <c r="L33" s="24"/>
    </row>
    <row r="34" spans="1:12" ht="31.5" customHeight="1">
      <c r="A34" s="1030">
        <v>18</v>
      </c>
      <c r="B34" s="1042" t="s">
        <v>1355</v>
      </c>
      <c r="C34" s="1043"/>
      <c r="D34" s="1044"/>
      <c r="E34" s="244"/>
      <c r="F34" s="244"/>
      <c r="G34" s="244">
        <v>2211.36</v>
      </c>
      <c r="H34" s="207"/>
      <c r="I34" s="202"/>
      <c r="J34" s="24"/>
      <c r="K34" s="24"/>
      <c r="L34" s="24"/>
    </row>
    <row r="35" spans="1:12" ht="45.75" customHeight="1">
      <c r="A35" s="1030">
        <v>19</v>
      </c>
      <c r="B35" s="1042" t="s">
        <v>940</v>
      </c>
      <c r="C35" s="1043"/>
      <c r="D35" s="247"/>
      <c r="E35" s="244"/>
      <c r="F35" s="244"/>
      <c r="G35" s="244">
        <f>1.1*1.1*7212/10*1.2*1.1*1.1797*1.1402*0.9368</f>
        <v>1451.491569500247</v>
      </c>
      <c r="H35" s="24"/>
      <c r="I35" s="24"/>
      <c r="J35" s="24"/>
      <c r="K35" s="24"/>
      <c r="L35" s="24"/>
    </row>
    <row r="36" spans="1:12" ht="16.5" customHeight="1">
      <c r="A36" s="1037">
        <v>20</v>
      </c>
      <c r="B36" s="239" t="s">
        <v>772</v>
      </c>
      <c r="C36" s="1043"/>
      <c r="D36" s="247"/>
      <c r="E36" s="244"/>
      <c r="F36" s="244"/>
      <c r="G36" s="248">
        <f>G31+G32+G33+G34+G35</f>
        <v>35554.15643054237</v>
      </c>
      <c r="H36" s="125"/>
      <c r="I36" s="24"/>
      <c r="J36" s="24"/>
      <c r="K36" s="24"/>
      <c r="L36" s="24"/>
    </row>
    <row r="37" spans="1:12" ht="30.75" customHeight="1">
      <c r="A37" s="1030">
        <v>21</v>
      </c>
      <c r="B37" s="1001" t="s">
        <v>773</v>
      </c>
      <c r="C37" s="1043"/>
      <c r="D37" s="247"/>
      <c r="E37" s="244"/>
      <c r="F37" s="244">
        <v>0.11</v>
      </c>
      <c r="G37" s="244">
        <f>G31*F37</f>
        <v>3023.668417</v>
      </c>
      <c r="H37" s="125"/>
      <c r="I37" s="24"/>
      <c r="J37" s="24"/>
      <c r="K37" s="24"/>
      <c r="L37" s="24"/>
    </row>
    <row r="38" spans="1:12" ht="30.75" customHeight="1">
      <c r="A38" s="1037">
        <v>22</v>
      </c>
      <c r="B38" s="1035" t="s">
        <v>1088</v>
      </c>
      <c r="C38" s="1043"/>
      <c r="D38" s="247"/>
      <c r="E38" s="244"/>
      <c r="F38" s="244"/>
      <c r="G38" s="248">
        <f>G36+G37</f>
        <v>38577.82484754237</v>
      </c>
      <c r="H38" s="24"/>
      <c r="I38" s="24"/>
      <c r="J38" s="24"/>
      <c r="K38" s="24"/>
      <c r="L38" s="24"/>
    </row>
    <row r="39" spans="1:12" ht="18" customHeight="1">
      <c r="A39" s="1045">
        <v>23</v>
      </c>
      <c r="B39" s="1046" t="s">
        <v>996</v>
      </c>
      <c r="C39" s="1047"/>
      <c r="D39" s="1048"/>
      <c r="E39" s="1049"/>
      <c r="F39" s="1049"/>
      <c r="G39" s="248">
        <f>ROUND(G38,0)</f>
        <v>38578</v>
      </c>
      <c r="H39" s="24"/>
      <c r="I39" s="24"/>
      <c r="J39" s="24"/>
      <c r="K39" s="43"/>
      <c r="L39" s="24"/>
    </row>
    <row r="40" spans="1:12" ht="12.75">
      <c r="A40" s="26"/>
      <c r="B40" s="24"/>
      <c r="C40" s="25"/>
      <c r="D40" s="26"/>
      <c r="E40" s="27"/>
      <c r="F40" s="27"/>
      <c r="G40" s="27"/>
      <c r="H40" s="24"/>
      <c r="I40" s="24"/>
      <c r="J40" s="24"/>
      <c r="K40" s="43"/>
      <c r="L40" s="24"/>
    </row>
    <row r="53" spans="1:3" ht="15.75">
      <c r="A53" s="11"/>
      <c r="B53" s="1318" t="s">
        <v>1146</v>
      </c>
      <c r="C53" s="1318"/>
    </row>
    <row r="54" spans="1:3" ht="14.25">
      <c r="A54" s="222" t="s">
        <v>1116</v>
      </c>
      <c r="B54" s="237" t="s">
        <v>574</v>
      </c>
      <c r="C54" s="238">
        <v>7130820158</v>
      </c>
    </row>
  </sheetData>
  <sheetProtection/>
  <mergeCells count="13">
    <mergeCell ref="B53:C53"/>
    <mergeCell ref="B1:C1"/>
    <mergeCell ref="A18:A19"/>
    <mergeCell ref="F2:G2"/>
    <mergeCell ref="B3:G3"/>
    <mergeCell ref="D5:D6"/>
    <mergeCell ref="E5:G5"/>
    <mergeCell ref="A5:A6"/>
    <mergeCell ref="B5:B6"/>
    <mergeCell ref="A25:A30"/>
    <mergeCell ref="A11:A14"/>
    <mergeCell ref="C5:C6"/>
    <mergeCell ref="J17:K17"/>
  </mergeCells>
  <printOptions/>
  <pageMargins left="0.96" right="0.17" top="0.52" bottom="0.35" header="0.32" footer="0.16"/>
  <pageSetup horizontalDpi="600" verticalDpi="600" orientation="landscape" scale="120" r:id="rId1"/>
</worksheet>
</file>

<file path=xl/worksheets/sheet9.xml><?xml version="1.0" encoding="utf-8"?>
<worksheet xmlns="http://schemas.openxmlformats.org/spreadsheetml/2006/main" xmlns:r="http://schemas.openxmlformats.org/officeDocument/2006/relationships">
  <sheetPr>
    <tabColor indexed="11"/>
  </sheetPr>
  <dimension ref="A1:K59"/>
  <sheetViews>
    <sheetView zoomScale="115" zoomScaleNormal="11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2.75"/>
  <cols>
    <col min="1" max="1" width="4.421875" style="79" customWidth="1"/>
    <col min="2" max="2" width="42.8515625" style="2" customWidth="1"/>
    <col min="3" max="3" width="12.28125" style="79" customWidth="1"/>
    <col min="4" max="4" width="6.00390625" style="2" customWidth="1"/>
    <col min="5" max="5" width="5.7109375" style="2" customWidth="1"/>
    <col min="6" max="6" width="9.8515625" style="2" customWidth="1"/>
    <col min="7" max="7" width="12.28125" style="2" customWidth="1"/>
    <col min="8" max="8" width="9.140625" style="2" customWidth="1"/>
    <col min="9" max="9" width="8.28125" style="2" customWidth="1"/>
    <col min="10" max="10" width="16.140625" style="2" customWidth="1"/>
    <col min="11" max="16384" width="9.140625" style="2" customWidth="1"/>
  </cols>
  <sheetData>
    <row r="1" spans="2:7" ht="19.5" customHeight="1">
      <c r="B1" s="1324" t="s">
        <v>512</v>
      </c>
      <c r="C1" s="1324"/>
      <c r="D1" s="1324"/>
      <c r="E1" s="1186"/>
      <c r="F1" s="1186"/>
      <c r="G1" s="1186"/>
    </row>
    <row r="2" spans="2:7" ht="10.5" customHeight="1">
      <c r="B2" s="20"/>
      <c r="C2" s="21"/>
      <c r="D2" s="21"/>
      <c r="E2" s="21"/>
      <c r="F2" s="21"/>
      <c r="G2" s="20"/>
    </row>
    <row r="3" spans="2:11" ht="33.75" customHeight="1">
      <c r="B3" s="1290" t="s">
        <v>128</v>
      </c>
      <c r="C3" s="1290"/>
      <c r="D3" s="1290"/>
      <c r="E3" s="1290"/>
      <c r="F3" s="1290"/>
      <c r="G3" s="1290"/>
      <c r="K3" s="145"/>
    </row>
    <row r="4" spans="1:11" ht="8.25" customHeight="1">
      <c r="A4" s="77"/>
      <c r="B4" s="77"/>
      <c r="C4" s="77"/>
      <c r="D4" s="77"/>
      <c r="E4" s="77"/>
      <c r="F4" s="77"/>
      <c r="G4" s="77"/>
      <c r="K4" s="145"/>
    </row>
    <row r="5" spans="1:7" ht="15">
      <c r="A5" s="22"/>
      <c r="B5" s="22"/>
      <c r="C5" s="22"/>
      <c r="D5" s="22"/>
      <c r="E5" s="22"/>
      <c r="F5" s="1330" t="s">
        <v>1153</v>
      </c>
      <c r="G5" s="1330"/>
    </row>
    <row r="6" spans="1:7" ht="31.5" customHeight="1">
      <c r="A6" s="1322" t="s">
        <v>1975</v>
      </c>
      <c r="B6" s="1322" t="s">
        <v>1974</v>
      </c>
      <c r="C6" s="1322" t="s">
        <v>331</v>
      </c>
      <c r="D6" s="1322" t="s">
        <v>332</v>
      </c>
      <c r="E6" s="1326" t="s">
        <v>719</v>
      </c>
      <c r="F6" s="1326"/>
      <c r="G6" s="1326"/>
    </row>
    <row r="7" spans="1:7" ht="15" customHeight="1">
      <c r="A7" s="1323"/>
      <c r="B7" s="1323"/>
      <c r="C7" s="1323"/>
      <c r="D7" s="1323"/>
      <c r="E7" s="248" t="s">
        <v>1329</v>
      </c>
      <c r="F7" s="248" t="s">
        <v>1018</v>
      </c>
      <c r="G7" s="248" t="s">
        <v>1434</v>
      </c>
    </row>
    <row r="8" spans="1:7" ht="12.75">
      <c r="A8" s="698">
        <v>1</v>
      </c>
      <c r="B8" s="698">
        <v>2</v>
      </c>
      <c r="C8" s="282">
        <v>3</v>
      </c>
      <c r="D8" s="282">
        <v>4</v>
      </c>
      <c r="E8" s="282">
        <v>5</v>
      </c>
      <c r="F8" s="259">
        <v>6</v>
      </c>
      <c r="G8" s="282">
        <v>7</v>
      </c>
    </row>
    <row r="9" spans="1:8" ht="27.75" customHeight="1">
      <c r="A9" s="253">
        <v>1</v>
      </c>
      <c r="B9" s="250" t="s">
        <v>1675</v>
      </c>
      <c r="C9" s="1050">
        <v>7130601958</v>
      </c>
      <c r="D9" s="251" t="s">
        <v>1070</v>
      </c>
      <c r="E9" s="251" t="s">
        <v>1090</v>
      </c>
      <c r="F9" s="1051">
        <f>VLOOKUP(C9,'SOR RATE'!A:D,4,0)/1000</f>
        <v>44.989</v>
      </c>
      <c r="G9" s="1052">
        <f aca="true" t="shared" si="0" ref="G9:G50">E9*F9</f>
        <v>433963.894</v>
      </c>
      <c r="H9" s="42"/>
    </row>
    <row r="10" spans="1:8" ht="27.75" customHeight="1">
      <c r="A10" s="253">
        <v>2</v>
      </c>
      <c r="B10" s="250" t="s">
        <v>720</v>
      </c>
      <c r="C10" s="255">
        <v>7130601072</v>
      </c>
      <c r="D10" s="251" t="s">
        <v>1070</v>
      </c>
      <c r="E10" s="251"/>
      <c r="F10" s="1051"/>
      <c r="G10" s="1052"/>
      <c r="H10" s="42"/>
    </row>
    <row r="11" spans="1:7" ht="25.5">
      <c r="A11" s="253">
        <v>3</v>
      </c>
      <c r="B11" s="252" t="s">
        <v>378</v>
      </c>
      <c r="C11" s="1050">
        <v>7130810512</v>
      </c>
      <c r="D11" s="253" t="s">
        <v>1023</v>
      </c>
      <c r="E11" s="253">
        <v>30</v>
      </c>
      <c r="F11" s="1051">
        <f>VLOOKUP(C11,'SOR RATE'!A:D,4,0)</f>
        <v>3940</v>
      </c>
      <c r="G11" s="1052">
        <f t="shared" si="0"/>
        <v>118200</v>
      </c>
    </row>
    <row r="12" spans="1:7" ht="27" customHeight="1">
      <c r="A12" s="253">
        <v>4</v>
      </c>
      <c r="B12" s="252" t="s">
        <v>1293</v>
      </c>
      <c r="C12" s="1050">
        <v>7130820312</v>
      </c>
      <c r="D12" s="253" t="s">
        <v>1022</v>
      </c>
      <c r="E12" s="253">
        <v>60</v>
      </c>
      <c r="F12" s="1051">
        <f>VLOOKUP(C12,'SOR RATE'!A:D,4,0)</f>
        <v>2183</v>
      </c>
      <c r="G12" s="1052">
        <f t="shared" si="0"/>
        <v>130980</v>
      </c>
    </row>
    <row r="13" spans="1:10" ht="16.5" customHeight="1">
      <c r="A13" s="253">
        <v>5</v>
      </c>
      <c r="B13" s="281" t="s">
        <v>721</v>
      </c>
      <c r="C13" s="255">
        <v>7130820011</v>
      </c>
      <c r="D13" s="253" t="s">
        <v>1023</v>
      </c>
      <c r="E13" s="253">
        <v>180</v>
      </c>
      <c r="F13" s="1051">
        <f>VLOOKUP(C13,'SOR RATE'!A:D,4,0)</f>
        <v>354</v>
      </c>
      <c r="G13" s="1052">
        <f t="shared" si="0"/>
        <v>63720</v>
      </c>
      <c r="I13" s="1325" t="s">
        <v>1156</v>
      </c>
      <c r="J13" s="1325"/>
    </row>
    <row r="14" spans="1:7" ht="17.25" customHeight="1">
      <c r="A14" s="253">
        <v>6</v>
      </c>
      <c r="B14" s="1185" t="s">
        <v>1024</v>
      </c>
      <c r="C14" s="1050">
        <v>7130870013</v>
      </c>
      <c r="D14" s="253" t="s">
        <v>1021</v>
      </c>
      <c r="E14" s="253">
        <v>20</v>
      </c>
      <c r="F14" s="1051">
        <f>VLOOKUP(C14,'SOR RATE'!A:D,4,0)</f>
        <v>100</v>
      </c>
      <c r="G14" s="1052">
        <f t="shared" si="0"/>
        <v>2000</v>
      </c>
    </row>
    <row r="15" spans="1:7" ht="15" customHeight="1">
      <c r="A15" s="253">
        <v>7</v>
      </c>
      <c r="B15" s="254" t="s">
        <v>991</v>
      </c>
      <c r="C15" s="1050">
        <v>7130830070</v>
      </c>
      <c r="D15" s="253" t="s">
        <v>1025</v>
      </c>
      <c r="E15" s="253">
        <v>3150</v>
      </c>
      <c r="F15" s="1051">
        <f>VLOOKUP(C15,'SOR RATE'!A:D,4,0)/1000</f>
        <v>167.935</v>
      </c>
      <c r="G15" s="1052">
        <f t="shared" si="0"/>
        <v>528995.25</v>
      </c>
    </row>
    <row r="16" spans="1:7" ht="19.5" customHeight="1">
      <c r="A16" s="253">
        <v>8</v>
      </c>
      <c r="B16" s="1185" t="s">
        <v>992</v>
      </c>
      <c r="C16" s="1050">
        <v>7130830971</v>
      </c>
      <c r="D16" s="253" t="s">
        <v>1023</v>
      </c>
      <c r="E16" s="253">
        <v>6</v>
      </c>
      <c r="F16" s="1051">
        <f>VLOOKUP(C16,'SOR RATE'!A:D,4,0)</f>
        <v>195</v>
      </c>
      <c r="G16" s="1052">
        <f t="shared" si="0"/>
        <v>1170</v>
      </c>
    </row>
    <row r="17" spans="1:7" ht="17.25" customHeight="1">
      <c r="A17" s="253">
        <v>9</v>
      </c>
      <c r="B17" s="252" t="s">
        <v>1026</v>
      </c>
      <c r="C17" s="1050">
        <v>7130860033</v>
      </c>
      <c r="D17" s="253" t="s">
        <v>1027</v>
      </c>
      <c r="E17" s="253">
        <v>12</v>
      </c>
      <c r="F17" s="1051">
        <f>VLOOKUP(C17,'SOR RATE'!A:D,4,0)</f>
        <v>705</v>
      </c>
      <c r="G17" s="1052">
        <f t="shared" si="0"/>
        <v>8460</v>
      </c>
    </row>
    <row r="18" spans="1:7" ht="17.25" customHeight="1">
      <c r="A18" s="253">
        <v>10</v>
      </c>
      <c r="B18" s="250" t="s">
        <v>1676</v>
      </c>
      <c r="C18" s="255">
        <v>7130810692</v>
      </c>
      <c r="D18" s="253" t="s">
        <v>1023</v>
      </c>
      <c r="E18" s="253">
        <v>100</v>
      </c>
      <c r="F18" s="1051">
        <f>VLOOKUP(C18,'SOR RATE'!A:D,4,0)</f>
        <v>294</v>
      </c>
      <c r="G18" s="1052">
        <f t="shared" si="0"/>
        <v>29400</v>
      </c>
    </row>
    <row r="19" spans="1:7" ht="17.25" customHeight="1">
      <c r="A19" s="253">
        <v>11</v>
      </c>
      <c r="B19" s="250" t="s">
        <v>722</v>
      </c>
      <c r="C19" s="255">
        <v>7130810201</v>
      </c>
      <c r="D19" s="251" t="s">
        <v>1061</v>
      </c>
      <c r="E19" s="253"/>
      <c r="F19" s="1051"/>
      <c r="G19" s="1052"/>
    </row>
    <row r="20" spans="1:7" ht="17.25" customHeight="1">
      <c r="A20" s="253">
        <v>12</v>
      </c>
      <c r="B20" s="250" t="s">
        <v>723</v>
      </c>
      <c r="C20" s="255">
        <v>7130810251</v>
      </c>
      <c r="D20" s="251" t="s">
        <v>1061</v>
      </c>
      <c r="E20" s="253"/>
      <c r="F20" s="1051"/>
      <c r="G20" s="1052"/>
    </row>
    <row r="21" spans="1:7" ht="17.25" customHeight="1">
      <c r="A21" s="253">
        <v>13</v>
      </c>
      <c r="B21" s="254" t="s">
        <v>1892</v>
      </c>
      <c r="C21" s="1050">
        <v>7130860076</v>
      </c>
      <c r="D21" s="253" t="s">
        <v>1020</v>
      </c>
      <c r="E21" s="253">
        <v>170</v>
      </c>
      <c r="F21" s="1051">
        <f>VLOOKUP(C21,'SOR RATE'!A:D,4,0)/1000</f>
        <v>61.002</v>
      </c>
      <c r="G21" s="1052">
        <f t="shared" si="0"/>
        <v>10370.34</v>
      </c>
    </row>
    <row r="22" spans="1:7" ht="39.75" customHeight="1">
      <c r="A22" s="1331">
        <v>14</v>
      </c>
      <c r="B22" s="252" t="s">
        <v>724</v>
      </c>
      <c r="C22" s="1050"/>
      <c r="D22" s="253" t="s">
        <v>1028</v>
      </c>
      <c r="E22" s="253">
        <f>(0.65*20)+(0.3*14)</f>
        <v>17.2</v>
      </c>
      <c r="F22" s="1052"/>
      <c r="G22" s="1052"/>
    </row>
    <row r="23" spans="1:7" ht="12.75">
      <c r="A23" s="1333"/>
      <c r="B23" s="1053" t="s">
        <v>1956</v>
      </c>
      <c r="C23" s="1050">
        <v>7130200401</v>
      </c>
      <c r="D23" s="253" t="s">
        <v>1020</v>
      </c>
      <c r="E23" s="1050">
        <f>208*17.2</f>
        <v>3577.6</v>
      </c>
      <c r="F23" s="1051">
        <f>VLOOKUP(C23,'SOR RATE'!A:D,4,0)/50</f>
        <v>5.36</v>
      </c>
      <c r="G23" s="1052">
        <f>E23*F23</f>
        <v>19175.936</v>
      </c>
    </row>
    <row r="24" spans="1:7" ht="14.25" customHeight="1">
      <c r="A24" s="249">
        <v>15</v>
      </c>
      <c r="B24" s="252" t="s">
        <v>1066</v>
      </c>
      <c r="C24" s="1050">
        <v>7130211158</v>
      </c>
      <c r="D24" s="253" t="s">
        <v>1030</v>
      </c>
      <c r="E24" s="253">
        <v>26</v>
      </c>
      <c r="F24" s="1051">
        <f>VLOOKUP(C24,'SOR RATE'!A:D,4,0)</f>
        <v>130</v>
      </c>
      <c r="G24" s="1052">
        <f t="shared" si="0"/>
        <v>3380</v>
      </c>
    </row>
    <row r="25" spans="1:7" ht="12.75" customHeight="1">
      <c r="A25" s="249">
        <v>16</v>
      </c>
      <c r="B25" s="252" t="s">
        <v>1068</v>
      </c>
      <c r="C25" s="1050">
        <v>7130210809</v>
      </c>
      <c r="D25" s="253" t="s">
        <v>1030</v>
      </c>
      <c r="E25" s="253">
        <v>26</v>
      </c>
      <c r="F25" s="1051">
        <f>VLOOKUP(C25,'SOR RATE'!A:D,4,0)</f>
        <v>290</v>
      </c>
      <c r="G25" s="1052">
        <f t="shared" si="0"/>
        <v>7540</v>
      </c>
    </row>
    <row r="26" spans="1:8" ht="14.25" customHeight="1">
      <c r="A26" s="249">
        <v>17</v>
      </c>
      <c r="B26" s="250" t="s">
        <v>430</v>
      </c>
      <c r="C26" s="255">
        <v>7130610206</v>
      </c>
      <c r="D26" s="253" t="s">
        <v>1020</v>
      </c>
      <c r="E26" s="253">
        <v>20</v>
      </c>
      <c r="F26" s="1051">
        <f>VLOOKUP(C26,'SOR RATE'!A:D,4,0)/1000</f>
        <v>66.528</v>
      </c>
      <c r="G26" s="1052">
        <f t="shared" si="0"/>
        <v>1330.5600000000002</v>
      </c>
      <c r="H26" s="104"/>
    </row>
    <row r="27" spans="1:7" ht="15" customHeight="1">
      <c r="A27" s="249">
        <v>18</v>
      </c>
      <c r="B27" s="252" t="s">
        <v>1069</v>
      </c>
      <c r="C27" s="1050">
        <v>7130880041</v>
      </c>
      <c r="D27" s="253" t="s">
        <v>1023</v>
      </c>
      <c r="E27" s="253">
        <v>20</v>
      </c>
      <c r="F27" s="1051">
        <f>VLOOKUP(C27,'SOR RATE'!A:D,4,0)</f>
        <v>74</v>
      </c>
      <c r="G27" s="1052">
        <f t="shared" si="0"/>
        <v>1480</v>
      </c>
    </row>
    <row r="28" spans="1:7" ht="16.5" customHeight="1">
      <c r="A28" s="253">
        <v>19</v>
      </c>
      <c r="B28" s="254" t="s">
        <v>993</v>
      </c>
      <c r="C28" s="1050">
        <v>7130830006</v>
      </c>
      <c r="D28" s="253" t="s">
        <v>1020</v>
      </c>
      <c r="E28" s="253">
        <v>8</v>
      </c>
      <c r="F28" s="1051">
        <f>VLOOKUP(C28,'SOR RATE'!A:D,4,0)</f>
        <v>139</v>
      </c>
      <c r="G28" s="1052">
        <f t="shared" si="0"/>
        <v>1112</v>
      </c>
    </row>
    <row r="29" spans="1:7" ht="15" customHeight="1">
      <c r="A29" s="1331">
        <v>20</v>
      </c>
      <c r="B29" s="252" t="s">
        <v>1031</v>
      </c>
      <c r="C29" s="1050"/>
      <c r="D29" s="253" t="s">
        <v>1020</v>
      </c>
      <c r="E29" s="253">
        <v>123</v>
      </c>
      <c r="F29" s="1052"/>
      <c r="G29" s="1052"/>
    </row>
    <row r="30" spans="1:7" ht="15" customHeight="1">
      <c r="A30" s="1332"/>
      <c r="B30" s="252" t="s">
        <v>1033</v>
      </c>
      <c r="C30" s="1050">
        <v>7130620609</v>
      </c>
      <c r="D30" s="253" t="s">
        <v>1020</v>
      </c>
      <c r="E30" s="253">
        <v>2</v>
      </c>
      <c r="F30" s="1051">
        <f>VLOOKUP(C30,'SOR RATE'!A:D,4,0)</f>
        <v>64</v>
      </c>
      <c r="G30" s="1052">
        <f t="shared" si="0"/>
        <v>128</v>
      </c>
    </row>
    <row r="31" spans="1:7" ht="15" customHeight="1">
      <c r="A31" s="1332"/>
      <c r="B31" s="252" t="s">
        <v>1034</v>
      </c>
      <c r="C31" s="1050">
        <v>7130620614</v>
      </c>
      <c r="D31" s="253" t="s">
        <v>1020</v>
      </c>
      <c r="E31" s="253">
        <v>30</v>
      </c>
      <c r="F31" s="1051">
        <f>VLOOKUP(C31,'SOR RATE'!A:D,4,0)</f>
        <v>63</v>
      </c>
      <c r="G31" s="1052">
        <f t="shared" si="0"/>
        <v>1890</v>
      </c>
    </row>
    <row r="32" spans="1:7" ht="15" customHeight="1">
      <c r="A32" s="1332"/>
      <c r="B32" s="252" t="s">
        <v>1035</v>
      </c>
      <c r="C32" s="1050">
        <v>7130620619</v>
      </c>
      <c r="D32" s="253" t="s">
        <v>1020</v>
      </c>
      <c r="E32" s="253">
        <v>20</v>
      </c>
      <c r="F32" s="1051">
        <f>VLOOKUP(C32,'SOR RATE'!A:D,4,0)</f>
        <v>63</v>
      </c>
      <c r="G32" s="1052">
        <f t="shared" si="0"/>
        <v>1260</v>
      </c>
    </row>
    <row r="33" spans="1:7" ht="15" customHeight="1">
      <c r="A33" s="1332"/>
      <c r="B33" s="252" t="s">
        <v>1036</v>
      </c>
      <c r="C33" s="1050">
        <v>7130620625</v>
      </c>
      <c r="D33" s="253" t="s">
        <v>1020</v>
      </c>
      <c r="E33" s="253"/>
      <c r="F33" s="1051">
        <f>VLOOKUP(C33,'SOR RATE'!A:D,4,0)</f>
        <v>62</v>
      </c>
      <c r="G33" s="1052"/>
    </row>
    <row r="34" spans="1:7" ht="15" customHeight="1">
      <c r="A34" s="1332"/>
      <c r="B34" s="252" t="s">
        <v>1037</v>
      </c>
      <c r="C34" s="1050">
        <v>7130620627</v>
      </c>
      <c r="D34" s="253" t="s">
        <v>1020</v>
      </c>
      <c r="E34" s="253">
        <v>1</v>
      </c>
      <c r="F34" s="1051">
        <f>VLOOKUP(C34,'SOR RATE'!A:D,4,0)</f>
        <v>62</v>
      </c>
      <c r="G34" s="1052">
        <f t="shared" si="0"/>
        <v>62</v>
      </c>
    </row>
    <row r="35" spans="1:7" ht="15" customHeight="1">
      <c r="A35" s="1332"/>
      <c r="B35" s="252" t="s">
        <v>1038</v>
      </c>
      <c r="C35" s="1050">
        <v>7130620631</v>
      </c>
      <c r="D35" s="253" t="s">
        <v>1020</v>
      </c>
      <c r="E35" s="253"/>
      <c r="F35" s="1051">
        <f>VLOOKUP(C35,'SOR RATE'!A:D,4,0)</f>
        <v>62</v>
      </c>
      <c r="G35" s="1052"/>
    </row>
    <row r="36" spans="1:7" ht="15" customHeight="1">
      <c r="A36" s="1333"/>
      <c r="B36" s="252" t="s">
        <v>1039</v>
      </c>
      <c r="C36" s="1050">
        <v>7130620637</v>
      </c>
      <c r="D36" s="253" t="s">
        <v>1020</v>
      </c>
      <c r="E36" s="253">
        <v>70</v>
      </c>
      <c r="F36" s="1051">
        <f>VLOOKUP(C36,'SOR RATE'!A:D,4,0)</f>
        <v>62</v>
      </c>
      <c r="G36" s="1052">
        <f t="shared" si="0"/>
        <v>4340</v>
      </c>
    </row>
    <row r="37" spans="1:7" ht="15" customHeight="1">
      <c r="A37" s="253">
        <v>21</v>
      </c>
      <c r="B37" s="254" t="s">
        <v>1040</v>
      </c>
      <c r="C37" s="1050">
        <v>7130600032</v>
      </c>
      <c r="D37" s="253" t="s">
        <v>1020</v>
      </c>
      <c r="E37" s="253">
        <v>435</v>
      </c>
      <c r="F37" s="1051">
        <f>VLOOKUP(C37,'SOR RATE'!A:D,4,0)/1000</f>
        <v>40.214</v>
      </c>
      <c r="G37" s="1052">
        <f t="shared" si="0"/>
        <v>17493.09</v>
      </c>
    </row>
    <row r="38" spans="1:7" ht="13.5" customHeight="1">
      <c r="A38" s="249">
        <v>22</v>
      </c>
      <c r="B38" s="252" t="s">
        <v>1577</v>
      </c>
      <c r="C38" s="1050">
        <v>7130810624</v>
      </c>
      <c r="D38" s="253" t="s">
        <v>1023</v>
      </c>
      <c r="E38" s="253">
        <v>120</v>
      </c>
      <c r="F38" s="1051">
        <f>VLOOKUP(C38,'SOR RATE'!A:D,4,0)</f>
        <v>90</v>
      </c>
      <c r="G38" s="1052">
        <f t="shared" si="0"/>
        <v>10800</v>
      </c>
    </row>
    <row r="39" spans="1:7" ht="14.25" customHeight="1">
      <c r="A39" s="1327">
        <v>23</v>
      </c>
      <c r="B39" s="256" t="s">
        <v>516</v>
      </c>
      <c r="C39" s="1054"/>
      <c r="D39" s="1055"/>
      <c r="E39" s="1055"/>
      <c r="F39" s="1055"/>
      <c r="G39" s="1056"/>
    </row>
    <row r="40" spans="1:7" ht="13.5" customHeight="1">
      <c r="A40" s="1328"/>
      <c r="B40" s="252" t="s">
        <v>514</v>
      </c>
      <c r="C40" s="1050">
        <v>7130870045</v>
      </c>
      <c r="D40" s="253" t="s">
        <v>1020</v>
      </c>
      <c r="E40" s="253">
        <v>40</v>
      </c>
      <c r="F40" s="1051">
        <f>VLOOKUP(C40,'SOR RATE'!A:D,4,0)/1000</f>
        <v>55.094</v>
      </c>
      <c r="G40" s="1052">
        <f t="shared" si="0"/>
        <v>2203.76</v>
      </c>
    </row>
    <row r="41" spans="1:7" ht="14.25" customHeight="1">
      <c r="A41" s="1328"/>
      <c r="B41" s="252" t="s">
        <v>515</v>
      </c>
      <c r="C41" s="1050">
        <v>7130870043</v>
      </c>
      <c r="D41" s="253" t="s">
        <v>1020</v>
      </c>
      <c r="E41" s="253">
        <v>20</v>
      </c>
      <c r="F41" s="1051">
        <f>VLOOKUP(C41,'SOR RATE'!A:D,4,0)/1000</f>
        <v>55.094</v>
      </c>
      <c r="G41" s="1052">
        <f t="shared" si="0"/>
        <v>1101.88</v>
      </c>
    </row>
    <row r="42" spans="1:7" ht="14.25" customHeight="1">
      <c r="A42" s="1328"/>
      <c r="B42" s="252" t="s">
        <v>379</v>
      </c>
      <c r="C42" s="1050">
        <v>7130897759</v>
      </c>
      <c r="D42" s="253" t="s">
        <v>1023</v>
      </c>
      <c r="E42" s="253">
        <v>2</v>
      </c>
      <c r="F42" s="1051">
        <f>VLOOKUP(C42,'SOR RATE'!A:D,4,0)</f>
        <v>3315</v>
      </c>
      <c r="G42" s="1052">
        <f t="shared" si="0"/>
        <v>6630</v>
      </c>
    </row>
    <row r="43" spans="1:7" ht="13.5" customHeight="1">
      <c r="A43" s="1328"/>
      <c r="B43" s="252" t="s">
        <v>1333</v>
      </c>
      <c r="C43" s="1050">
        <v>7130620637</v>
      </c>
      <c r="D43" s="253" t="s">
        <v>1020</v>
      </c>
      <c r="E43" s="253">
        <v>5</v>
      </c>
      <c r="F43" s="1051">
        <f>VLOOKUP(C43,'SOR RATE'!A:D,4,0)</f>
        <v>62</v>
      </c>
      <c r="G43" s="1052">
        <f>E43*F43</f>
        <v>310</v>
      </c>
    </row>
    <row r="44" spans="1:7" ht="14.25" customHeight="1">
      <c r="A44" s="1328"/>
      <c r="B44" s="252" t="s">
        <v>2011</v>
      </c>
      <c r="C44" s="79">
        <v>7130620013</v>
      </c>
      <c r="D44" s="253" t="s">
        <v>1061</v>
      </c>
      <c r="E44" s="253">
        <v>4</v>
      </c>
      <c r="F44" s="1051">
        <f>VLOOKUP(C44,'SOR RATE'!A:D,4,0)</f>
        <v>118</v>
      </c>
      <c r="G44" s="1052">
        <f t="shared" si="0"/>
        <v>472</v>
      </c>
    </row>
    <row r="45" spans="1:7" ht="15" customHeight="1">
      <c r="A45" s="1328"/>
      <c r="B45" s="252" t="s">
        <v>1042</v>
      </c>
      <c r="C45" s="253">
        <v>7130860033</v>
      </c>
      <c r="D45" s="253" t="s">
        <v>1061</v>
      </c>
      <c r="E45" s="253">
        <v>2</v>
      </c>
      <c r="F45" s="1051">
        <f>VLOOKUP(C45,'SOR RATE'!A:D,4,0)</f>
        <v>705</v>
      </c>
      <c r="G45" s="1052">
        <f t="shared" si="0"/>
        <v>1410</v>
      </c>
    </row>
    <row r="46" spans="1:7" ht="13.5" customHeight="1">
      <c r="A46" s="1328"/>
      <c r="B46" s="252" t="s">
        <v>513</v>
      </c>
      <c r="C46" s="1050">
        <v>7130860076</v>
      </c>
      <c r="D46" s="253" t="s">
        <v>1020</v>
      </c>
      <c r="E46" s="253">
        <v>17</v>
      </c>
      <c r="F46" s="1051">
        <f>VLOOKUP(C46,'SOR RATE'!A:D,4,0)/1000</f>
        <v>61.002</v>
      </c>
      <c r="G46" s="1052">
        <f t="shared" si="0"/>
        <v>1037.034</v>
      </c>
    </row>
    <row r="47" spans="1:7" ht="13.5" customHeight="1">
      <c r="A47" s="1328"/>
      <c r="B47" s="252" t="s">
        <v>1677</v>
      </c>
      <c r="C47" s="255">
        <v>7130810692</v>
      </c>
      <c r="D47" s="253" t="s">
        <v>1023</v>
      </c>
      <c r="E47" s="253">
        <v>2</v>
      </c>
      <c r="F47" s="1051">
        <f>VLOOKUP(C47,'SOR RATE'!A:D,4,0)</f>
        <v>294</v>
      </c>
      <c r="G47" s="1052">
        <f>E47*F47</f>
        <v>588</v>
      </c>
    </row>
    <row r="48" spans="1:7" ht="13.5" customHeight="1">
      <c r="A48" s="1328"/>
      <c r="B48" s="250" t="s">
        <v>726</v>
      </c>
      <c r="C48" s="255">
        <v>7130810201</v>
      </c>
      <c r="D48" s="251" t="s">
        <v>1061</v>
      </c>
      <c r="E48" s="253"/>
      <c r="F48" s="1051"/>
      <c r="G48" s="1052"/>
    </row>
    <row r="49" spans="1:7" ht="13.5" customHeight="1">
      <c r="A49" s="1328"/>
      <c r="B49" s="250" t="s">
        <v>725</v>
      </c>
      <c r="C49" s="255">
        <v>7130810251</v>
      </c>
      <c r="D49" s="251" t="s">
        <v>1061</v>
      </c>
      <c r="E49" s="253"/>
      <c r="F49" s="1051"/>
      <c r="G49" s="1052"/>
    </row>
    <row r="50" spans="1:7" ht="14.25" customHeight="1">
      <c r="A50" s="1329"/>
      <c r="B50" s="252" t="s">
        <v>727</v>
      </c>
      <c r="C50" s="1050">
        <v>7130620619</v>
      </c>
      <c r="D50" s="253" t="s">
        <v>1020</v>
      </c>
      <c r="E50" s="253">
        <v>1</v>
      </c>
      <c r="F50" s="1051">
        <f>VLOOKUP(C50,'SOR RATE'!A:D,4,0)</f>
        <v>63</v>
      </c>
      <c r="G50" s="1052">
        <f t="shared" si="0"/>
        <v>63</v>
      </c>
    </row>
    <row r="51" spans="1:7" ht="12.75">
      <c r="A51" s="146">
        <v>24</v>
      </c>
      <c r="B51" s="1057" t="s">
        <v>771</v>
      </c>
      <c r="C51" s="1050"/>
      <c r="D51" s="253"/>
      <c r="E51" s="253"/>
      <c r="F51" s="1052"/>
      <c r="G51" s="147">
        <f>SUM(G9:G50)</f>
        <v>1411066.744</v>
      </c>
    </row>
    <row r="52" spans="1:7" ht="12.75">
      <c r="A52" s="927">
        <v>25</v>
      </c>
      <c r="B52" s="250" t="s">
        <v>770</v>
      </c>
      <c r="C52" s="1054"/>
      <c r="D52" s="1055"/>
      <c r="E52" s="1055"/>
      <c r="F52" s="1052">
        <v>0.09</v>
      </c>
      <c r="G52" s="1052">
        <f>G51*F52</f>
        <v>126996.00695999998</v>
      </c>
    </row>
    <row r="53" spans="1:7" ht="16.5" customHeight="1">
      <c r="A53" s="253">
        <v>26</v>
      </c>
      <c r="B53" s="1185" t="s">
        <v>1944</v>
      </c>
      <c r="C53" s="1050"/>
      <c r="D53" s="253" t="s">
        <v>1065</v>
      </c>
      <c r="E53" s="253">
        <v>17.2</v>
      </c>
      <c r="F53" s="260">
        <f>1664*1.27*1.0891*1.086275*1.1112*1.0685</f>
        <v>2968.460981603261</v>
      </c>
      <c r="G53" s="1052">
        <f>E53*F53</f>
        <v>51057.52888357609</v>
      </c>
    </row>
    <row r="54" spans="1:7" ht="15" customHeight="1">
      <c r="A54" s="253">
        <v>27</v>
      </c>
      <c r="B54" s="1185" t="s">
        <v>1976</v>
      </c>
      <c r="C54" s="1050"/>
      <c r="D54" s="253" t="s">
        <v>1043</v>
      </c>
      <c r="E54" s="253">
        <v>1</v>
      </c>
      <c r="F54" s="1052"/>
      <c r="G54" s="1052">
        <v>104617.63</v>
      </c>
    </row>
    <row r="55" spans="1:7" ht="40.5" customHeight="1">
      <c r="A55" s="253">
        <v>28</v>
      </c>
      <c r="B55" s="252" t="s">
        <v>380</v>
      </c>
      <c r="C55" s="1050"/>
      <c r="D55" s="253" t="s">
        <v>1041</v>
      </c>
      <c r="E55" s="253" t="s">
        <v>1041</v>
      </c>
      <c r="F55" s="1052"/>
      <c r="G55" s="1052">
        <f>1.1*15000*1.2*1.1*1.1797*1.1402*0.9368</f>
        <v>27444.62958516576</v>
      </c>
    </row>
    <row r="56" spans="1:7" ht="12.75">
      <c r="A56" s="146">
        <v>29</v>
      </c>
      <c r="B56" s="1057" t="s">
        <v>772</v>
      </c>
      <c r="C56" s="1050"/>
      <c r="D56" s="253"/>
      <c r="E56" s="253"/>
      <c r="F56" s="1052"/>
      <c r="G56" s="147">
        <f>G51+G52+G53+G54+G55</f>
        <v>1721182.539428742</v>
      </c>
    </row>
    <row r="57" spans="1:7" ht="29.25" customHeight="1">
      <c r="A57" s="253">
        <v>30</v>
      </c>
      <c r="B57" s="250" t="s">
        <v>773</v>
      </c>
      <c r="C57" s="1050"/>
      <c r="D57" s="253"/>
      <c r="E57" s="253"/>
      <c r="F57" s="1052">
        <v>0.11</v>
      </c>
      <c r="G57" s="1052">
        <f>G51*F57</f>
        <v>155217.34184</v>
      </c>
    </row>
    <row r="58" spans="1:7" ht="14.25" customHeight="1">
      <c r="A58" s="253">
        <v>31</v>
      </c>
      <c r="B58" s="252" t="s">
        <v>1044</v>
      </c>
      <c r="C58" s="1050"/>
      <c r="D58" s="254"/>
      <c r="E58" s="253"/>
      <c r="F58" s="1052"/>
      <c r="G58" s="1052">
        <f>G56+G57</f>
        <v>1876399.881268742</v>
      </c>
    </row>
    <row r="59" spans="1:7" ht="27" customHeight="1">
      <c r="A59" s="146">
        <v>32</v>
      </c>
      <c r="B59" s="257" t="s">
        <v>1898</v>
      </c>
      <c r="C59" s="1058"/>
      <c r="D59" s="258"/>
      <c r="E59" s="146"/>
      <c r="F59" s="147"/>
      <c r="G59" s="147">
        <f>ROUND(G58,0)</f>
        <v>1876400</v>
      </c>
    </row>
  </sheetData>
  <sheetProtection/>
  <mergeCells count="12">
    <mergeCell ref="A39:A50"/>
    <mergeCell ref="F5:G5"/>
    <mergeCell ref="A29:A36"/>
    <mergeCell ref="A22:A23"/>
    <mergeCell ref="B6:B7"/>
    <mergeCell ref="A6:A7"/>
    <mergeCell ref="D6:D7"/>
    <mergeCell ref="B1:D1"/>
    <mergeCell ref="C6:C7"/>
    <mergeCell ref="I13:J13"/>
    <mergeCell ref="E6:G6"/>
    <mergeCell ref="B3:G3"/>
  </mergeCells>
  <printOptions horizontalCentered="1"/>
  <pageMargins left="0.7" right="0.196850393700787" top="0.62992125984252" bottom="0.33" header="0.511811023622047" footer="0.16"/>
  <pageSetup horizontalDpi="600" verticalDpi="600" orientation="landscape" paperSize="9" scale="138" r:id="rId1"/>
  <ignoredErrors>
    <ignoredError sqref="E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cseb</dc:creator>
  <cp:keywords/>
  <dc:description/>
  <cp:lastModifiedBy>hcl</cp:lastModifiedBy>
  <cp:lastPrinted>2015-07-04T11:05:58Z</cp:lastPrinted>
  <dcterms:created xsi:type="dcterms:W3CDTF">2007-07-20T07:15:19Z</dcterms:created>
  <dcterms:modified xsi:type="dcterms:W3CDTF">2015-07-29T09:52:36Z</dcterms:modified>
  <cp:category/>
  <cp:version/>
  <cp:contentType/>
  <cp:contentStatus/>
</cp:coreProperties>
</file>